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605" windowHeight="16065" activeTab="0"/>
  </bookViews>
  <sheets>
    <sheet name="Люб. ПЛ. б.э." sheetId="1" r:id="rId1"/>
    <sheet name="ПРО ПЛ. б.э." sheetId="2" r:id="rId2"/>
    <sheet name="Люб. ПЛ. 1.петельная софт" sheetId="3" r:id="rId3"/>
    <sheet name="ПРО ПЛ. мн.петельная софт" sheetId="4" r:id="rId4"/>
    <sheet name="ПРО ПЛ. 1.петельная софт" sheetId="5" r:id="rId5"/>
    <sheet name="Люб. ПЛ. 1.слой" sheetId="6" r:id="rId6"/>
    <sheet name="ПРО ПЛ. мн.слой" sheetId="7" r:id="rId7"/>
    <sheet name="Двоеборье люб" sheetId="8" r:id="rId8"/>
    <sheet name="Люб. присед б.э." sheetId="9" r:id="rId9"/>
    <sheet name="ПРО тяга б.э." sheetId="10" r:id="rId10"/>
    <sheet name="Люб. тяга б.э." sheetId="11" r:id="rId11"/>
    <sheet name="ПРО тяга 1.слой" sheetId="12" r:id="rId12"/>
    <sheet name="Люб. тяга 1.слой" sheetId="13" r:id="rId13"/>
    <sheet name="ПРО жим софт мн.петельная" sheetId="14" r:id="rId14"/>
    <sheet name="ПРО жим софт 1 петельная" sheetId="15" r:id="rId15"/>
    <sheet name="Люб. жим 1 петельная" sheetId="16" r:id="rId16"/>
    <sheet name="ПРО жим б.э." sheetId="17" r:id="rId17"/>
    <sheet name="Люб. жим б.э." sheetId="18" r:id="rId18"/>
    <sheet name="Люб. жим 1.слой" sheetId="19" r:id="rId19"/>
    <sheet name="ПРО жим мн.слой" sheetId="20" r:id="rId20"/>
    <sheet name="Люб. жим мн.слой" sheetId="21" r:id="rId21"/>
    <sheet name="ПРО Военный жим" sheetId="22" r:id="rId22"/>
    <sheet name="Люб. Военный жим" sheetId="23" r:id="rId23"/>
    <sheet name="Проф. народный жим 1_2 вес" sheetId="24" r:id="rId24"/>
    <sheet name="Проф. народный жим 1 вес" sheetId="25" r:id="rId25"/>
    <sheet name="Пауэрспорт Профессионалы" sheetId="26" r:id="rId26"/>
    <sheet name="Пауэрспорт Любители" sheetId="27" r:id="rId27"/>
    <sheet name="Бицепс Профессионалы" sheetId="28" r:id="rId28"/>
    <sheet name="Бицепс Любители" sheetId="29" r:id="rId29"/>
    <sheet name="Жим стоя Профессионалы" sheetId="30" r:id="rId30"/>
    <sheet name="Жим стоя Любители" sheetId="31" r:id="rId31"/>
    <sheet name="Русская тяга люб. 100 кг." sheetId="32" r:id="rId32"/>
    <sheet name="Русская тяга люб. 55 кг." sheetId="33" r:id="rId33"/>
    <sheet name="РЖ любители 75 кг." sheetId="34" r:id="rId34"/>
    <sheet name="РЖ любители 55 кг." sheetId="35" r:id="rId35"/>
    <sheet name="РЖ любители 35 кг." sheetId="36" r:id="rId36"/>
    <sheet name="Судейский корпус" sheetId="37" r:id="rId37"/>
  </sheets>
  <definedNames/>
  <calcPr fullCalcOnLoad="1"/>
</workbook>
</file>

<file path=xl/sharedStrings.xml><?xml version="1.0" encoding="utf-8"?>
<sst xmlns="http://schemas.openxmlformats.org/spreadsheetml/2006/main" count="3101" uniqueCount="606">
  <si>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</si>
  <si>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</si>
  <si>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</si>
  <si>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</si>
  <si>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</si>
  <si>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</si>
  <si>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</si>
  <si>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</si>
  <si>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</si>
  <si>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</si>
  <si>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</si>
  <si>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 xml:space="preserve">Абсолютный зачёт </t>
  </si>
  <si>
    <t/>
  </si>
  <si>
    <t>Место</t>
  </si>
  <si>
    <t>Чемпионат Сибири
ПРО пауэрлифтинг в многослойной экипировке
Красноярск/Красноярский край 8 - 9 марта 2020 г.</t>
  </si>
  <si>
    <t>Shv/Mel</t>
  </si>
  <si>
    <t>Приседание</t>
  </si>
  <si>
    <t>Жим лёжа</t>
  </si>
  <si>
    <t>Становая тяга</t>
  </si>
  <si>
    <t>ВЕСОВАЯ КАТЕГОРИЯ   67.5</t>
  </si>
  <si>
    <t>Логинова Анастасия</t>
  </si>
  <si>
    <t>Открытая (26.02.1998)/22</t>
  </si>
  <si>
    <t>65,60</t>
  </si>
  <si>
    <t xml:space="preserve">лично </t>
  </si>
  <si>
    <t xml:space="preserve">Москва </t>
  </si>
  <si>
    <t>175,0</t>
  </si>
  <si>
    <t>180,0</t>
  </si>
  <si>
    <t>202,5</t>
  </si>
  <si>
    <t>85,0</t>
  </si>
  <si>
    <t>92,5</t>
  </si>
  <si>
    <t>97,5</t>
  </si>
  <si>
    <t>170,0</t>
  </si>
  <si>
    <t>185,0</t>
  </si>
  <si>
    <t>200,0</t>
  </si>
  <si>
    <t xml:space="preserve">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</si>
  <si>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</si>
  <si>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</si>
  <si>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</si>
  <si>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</si>
  <si>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</si>
  <si>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</si>
  <si>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</si>
  <si>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67.5</t>
  </si>
  <si>
    <t>1</t>
  </si>
  <si>
    <t>ВЕСОВАЯ КАТЕГОРИЯ   82.5</t>
  </si>
  <si>
    <t>260,0</t>
  </si>
  <si>
    <t>270,0</t>
  </si>
  <si>
    <t>ВЕСОВАЯ КАТЕГОРИЯ   90</t>
  </si>
  <si>
    <t>305,0</t>
  </si>
  <si>
    <t>312,5</t>
  </si>
  <si>
    <t>187,5</t>
  </si>
  <si>
    <t>90,00</t>
  </si>
  <si>
    <t xml:space="preserve">Алматы/ </t>
  </si>
  <si>
    <t>285,0</t>
  </si>
  <si>
    <t>300,0</t>
  </si>
  <si>
    <t>215,0</t>
  </si>
  <si>
    <t>ВЕСОВАЯ КАТЕГОРИЯ   100</t>
  </si>
  <si>
    <t xml:space="preserve">Красноярск/Красноярский край </t>
  </si>
  <si>
    <t>310,0</t>
  </si>
  <si>
    <t>190,0</t>
  </si>
  <si>
    <t>197,5</t>
  </si>
  <si>
    <t>400,0</t>
  </si>
  <si>
    <t>ВЕСОВАЯ КАТЕГОРИЯ   125</t>
  </si>
  <si>
    <t>340,0</t>
  </si>
  <si>
    <t>220,0</t>
  </si>
  <si>
    <t>232,5</t>
  </si>
  <si>
    <t>240,0</t>
  </si>
  <si>
    <t>330,0</t>
  </si>
  <si>
    <t>192,5</t>
  </si>
  <si>
    <t>207,5</t>
  </si>
  <si>
    <t>295,0</t>
  </si>
  <si>
    <t>ВЕСОВАЯ КАТЕГОРИЯ   140</t>
  </si>
  <si>
    <t>160,0</t>
  </si>
  <si>
    <t>360,0</t>
  </si>
  <si>
    <t>Мастера 40 - 44 (09.08.1978)/41</t>
  </si>
  <si>
    <t xml:space="preserve">Железногорск-Илимский/Иркутская область </t>
  </si>
  <si>
    <t>325,0</t>
  </si>
  <si>
    <t>195,0</t>
  </si>
  <si>
    <t>205,0</t>
  </si>
  <si>
    <t>210,0</t>
  </si>
  <si>
    <t>100</t>
  </si>
  <si>
    <t>82.5</t>
  </si>
  <si>
    <t>90</t>
  </si>
  <si>
    <t>-</t>
  </si>
  <si>
    <t>2</t>
  </si>
  <si>
    <t>Чемпионат Сибири
Любители пауэрлифтинг в однослойной экипировке
Красноярск/Красноярский край 8 - 9 марта 2020 г.</t>
  </si>
  <si>
    <t>Рогатенко Александр</t>
  </si>
  <si>
    <t>Открытая (07.05.1982)/37</t>
  </si>
  <si>
    <t>82,30</t>
  </si>
  <si>
    <t>237,5</t>
  </si>
  <si>
    <t>250,0</t>
  </si>
  <si>
    <t>Губин Иван</t>
  </si>
  <si>
    <t>Открытая (18.09.1994)/25</t>
  </si>
  <si>
    <t>182,5</t>
  </si>
  <si>
    <t>107,5</t>
  </si>
  <si>
    <t>Шаров Даниил</t>
  </si>
  <si>
    <t>Юноши 18 - 19 (03.10.2000)/19</t>
  </si>
  <si>
    <t>84,10</t>
  </si>
  <si>
    <t xml:space="preserve">Богучаны/Красноярский край </t>
  </si>
  <si>
    <t>235,0</t>
  </si>
  <si>
    <t>130,0</t>
  </si>
  <si>
    <t>140,0</t>
  </si>
  <si>
    <t>150,0</t>
  </si>
  <si>
    <t>255,0</t>
  </si>
  <si>
    <t xml:space="preserve">Чепурин Максим </t>
  </si>
  <si>
    <t>Пятов Евгений</t>
  </si>
  <si>
    <t>Открытая (18.02.1990)/30</t>
  </si>
  <si>
    <t>117,50</t>
  </si>
  <si>
    <t>275,0</t>
  </si>
  <si>
    <t>230,0</t>
  </si>
  <si>
    <t>Голубев Евгений</t>
  </si>
  <si>
    <t>Открытая (17.12.1969)/50</t>
  </si>
  <si>
    <t>135,50</t>
  </si>
  <si>
    <t>225,0</t>
  </si>
  <si>
    <t>125</t>
  </si>
  <si>
    <t>140</t>
  </si>
  <si>
    <t>Иванов Павел</t>
  </si>
  <si>
    <t>Открытая (06.01.1983)/37</t>
  </si>
  <si>
    <t>89,10</t>
  </si>
  <si>
    <t>145,0</t>
  </si>
  <si>
    <t xml:space="preserve">Мистратов Виктор </t>
  </si>
  <si>
    <t>ВЕСОВАЯ КАТЕГОРИЯ   56</t>
  </si>
  <si>
    <t>Кривчикова Милана</t>
  </si>
  <si>
    <t>Открытая (25.03.1990)/29</t>
  </si>
  <si>
    <t>55,00</t>
  </si>
  <si>
    <t xml:space="preserve">Новосибирск/Новосибирская область </t>
  </si>
  <si>
    <t>65,0</t>
  </si>
  <si>
    <t>75,0</t>
  </si>
  <si>
    <t>80,0</t>
  </si>
  <si>
    <t>45,0</t>
  </si>
  <si>
    <t>ВЕСОВАЯ КАТЕГОРИЯ   60</t>
  </si>
  <si>
    <t>Ледовских Антонина</t>
  </si>
  <si>
    <t>Открытая (04.05.1995)/24</t>
  </si>
  <si>
    <t>60,00</t>
  </si>
  <si>
    <t>90,0</t>
  </si>
  <si>
    <t>102,0</t>
  </si>
  <si>
    <t>50,0</t>
  </si>
  <si>
    <t>55,0</t>
  </si>
  <si>
    <t>95,0</t>
  </si>
  <si>
    <t>100,0</t>
  </si>
  <si>
    <t>105,0</t>
  </si>
  <si>
    <t>Бойчук Анита</t>
  </si>
  <si>
    <t>Открытая (07.11.1994)/25</t>
  </si>
  <si>
    <t>67,50</t>
  </si>
  <si>
    <t xml:space="preserve">Ангарск/Иркутская область </t>
  </si>
  <si>
    <t>115,0</t>
  </si>
  <si>
    <t>120,0</t>
  </si>
  <si>
    <t>125,0</t>
  </si>
  <si>
    <t>132,5</t>
  </si>
  <si>
    <t xml:space="preserve">Распутин Евгений </t>
  </si>
  <si>
    <t>ВЕСОВАЯ КАТЕГОРИЯ   75</t>
  </si>
  <si>
    <t>Фролова Дарья</t>
  </si>
  <si>
    <t>Юниорки 20 - 23 (21.06.1999)/20</t>
  </si>
  <si>
    <t>74,80</t>
  </si>
  <si>
    <t>127,5</t>
  </si>
  <si>
    <t>72,5</t>
  </si>
  <si>
    <t>77,5</t>
  </si>
  <si>
    <t>165,0</t>
  </si>
  <si>
    <t>Баданин Алексей</t>
  </si>
  <si>
    <t>Юноши 16 - 17 (01.06.2002)/17</t>
  </si>
  <si>
    <t>65,70</t>
  </si>
  <si>
    <t>110,0</t>
  </si>
  <si>
    <t>Стариков Дмитрий</t>
  </si>
  <si>
    <t>Открытая (27.11.1981)/38</t>
  </si>
  <si>
    <t>66,20</t>
  </si>
  <si>
    <t>135,0</t>
  </si>
  <si>
    <t>167,5</t>
  </si>
  <si>
    <t>Андрушевский Алексей</t>
  </si>
  <si>
    <t>Юниоры 20 - 23 (21.10.1998)/21</t>
  </si>
  <si>
    <t>74,90</t>
  </si>
  <si>
    <t xml:space="preserve">Кызыл/Тыва </t>
  </si>
  <si>
    <t>157,5</t>
  </si>
  <si>
    <t>Поданев Алексей</t>
  </si>
  <si>
    <t>Открытая (20.01.1985)/35</t>
  </si>
  <si>
    <t>73,60</t>
  </si>
  <si>
    <t xml:space="preserve">Искитим/Новосибирская область </t>
  </si>
  <si>
    <t xml:space="preserve">Свиридов В. </t>
  </si>
  <si>
    <t>Дадыко Артём</t>
  </si>
  <si>
    <t>Юниоры 20 - 23 (22.12.1998)/21</t>
  </si>
  <si>
    <t>81,10</t>
  </si>
  <si>
    <t>112,5</t>
  </si>
  <si>
    <t>Ковалев Андрей</t>
  </si>
  <si>
    <t>Открытая (11.02.1991)/29</t>
  </si>
  <si>
    <t>81,50</t>
  </si>
  <si>
    <t>137,5</t>
  </si>
  <si>
    <t>142,5</t>
  </si>
  <si>
    <t>247,5</t>
  </si>
  <si>
    <t xml:space="preserve">Вяхирев И. </t>
  </si>
  <si>
    <t>Денисов Денис</t>
  </si>
  <si>
    <t>Открытая (17.11.1988)/31</t>
  </si>
  <si>
    <t xml:space="preserve">Григорьев И. </t>
  </si>
  <si>
    <t>Архипенко Иван</t>
  </si>
  <si>
    <t>Мастера 40 - 44 (10.07.1979)/40</t>
  </si>
  <si>
    <t>80,10</t>
  </si>
  <si>
    <t>177,5</t>
  </si>
  <si>
    <t>Могулев Евгений</t>
  </si>
  <si>
    <t>Открытая (01.07.1981)/38</t>
  </si>
  <si>
    <t>99,90</t>
  </si>
  <si>
    <t>Мурашов Иван</t>
  </si>
  <si>
    <t>Открытая (07.07.1988)/31</t>
  </si>
  <si>
    <t>98,20</t>
  </si>
  <si>
    <t xml:space="preserve">Женщины </t>
  </si>
  <si>
    <t>75</t>
  </si>
  <si>
    <t>60</t>
  </si>
  <si>
    <t>555,0</t>
  </si>
  <si>
    <t>346,6530</t>
  </si>
  <si>
    <t>344,2665</t>
  </si>
  <si>
    <t>392,5</t>
  </si>
  <si>
    <t>289,9397</t>
  </si>
  <si>
    <t>Чеснокова Мария</t>
  </si>
  <si>
    <t>Юниорки 20 - 23 (19.01.1999)/21</t>
  </si>
  <si>
    <t>59,70</t>
  </si>
  <si>
    <t>155,0</t>
  </si>
  <si>
    <t>Яковлев Артём</t>
  </si>
  <si>
    <t>Юноши 18 - 19 (01.07.2000)/19</t>
  </si>
  <si>
    <t>66,60</t>
  </si>
  <si>
    <t xml:space="preserve">Абакан/Хакасия </t>
  </si>
  <si>
    <t xml:space="preserve">Ипатов А.С. </t>
  </si>
  <si>
    <t>Руссу Александр</t>
  </si>
  <si>
    <t>Открытая (10.10.1986)/33</t>
  </si>
  <si>
    <t>82,10</t>
  </si>
  <si>
    <t xml:space="preserve">Новый Уренгой/Ямало-Ненецкий авт. окр. </t>
  </si>
  <si>
    <t xml:space="preserve">Зевякин Иван </t>
  </si>
  <si>
    <t>Галеев Дмитрий</t>
  </si>
  <si>
    <t>Открытая (04.09.2000)/19</t>
  </si>
  <si>
    <t>85,70</t>
  </si>
  <si>
    <t>265,0</t>
  </si>
  <si>
    <t>277,5</t>
  </si>
  <si>
    <t xml:space="preserve">Суслов Николай </t>
  </si>
  <si>
    <t>Товбов Александр</t>
  </si>
  <si>
    <t>Открытая (01.05.1986)/33</t>
  </si>
  <si>
    <t>98,00</t>
  </si>
  <si>
    <t>162,5</t>
  </si>
  <si>
    <t xml:space="preserve">Матвей Рэдман </t>
  </si>
  <si>
    <t>Чепурин Максим</t>
  </si>
  <si>
    <t>Мастера 40 - 44 (05.04.1979)/40</t>
  </si>
  <si>
    <t>Чемпионат Сибири
Любители военный жим
Красноярск/Красноярский край 8 - 9 марта 2020 г.</t>
  </si>
  <si>
    <t>Павленко Анатолий</t>
  </si>
  <si>
    <t>Мастера 65 - 69 (26.05.1951)/68</t>
  </si>
  <si>
    <t>89,50</t>
  </si>
  <si>
    <t xml:space="preserve">Прокопьевск/Кемеровская область </t>
  </si>
  <si>
    <t>Черепанов Григорий</t>
  </si>
  <si>
    <t>Открытая (20.01.1992)/28</t>
  </si>
  <si>
    <t>95,30</t>
  </si>
  <si>
    <t>Бабин Сергей</t>
  </si>
  <si>
    <t>Открытая (18.11.1981)/38</t>
  </si>
  <si>
    <t>117,40</t>
  </si>
  <si>
    <t xml:space="preserve">Ачинск/Красноярский край </t>
  </si>
  <si>
    <t>Результат</t>
  </si>
  <si>
    <t>Чемпионат Сибири
ПРО военный жим
Красноярск/Красноярский край 8 - 9 марта 2020 г.</t>
  </si>
  <si>
    <t>217,5</t>
  </si>
  <si>
    <t>Чемпионат Сибири
Любители жим лежа в многослойной экипировке
Красноярск/Красноярский край 8 - 9 марта 2020 г.</t>
  </si>
  <si>
    <t>Андрианов Ярослав</t>
  </si>
  <si>
    <t>Открытая (11.07.1986)/33</t>
  </si>
  <si>
    <t>114,50</t>
  </si>
  <si>
    <t>352,5</t>
  </si>
  <si>
    <t>Чемпионат Сибири
ПРО жим лежа в многослойной экипировке
Красноярск/Красноярский край 8 - 9 марта 2020 г.</t>
  </si>
  <si>
    <t>ВЕСОВАЯ КАТЕГОРИЯ   110</t>
  </si>
  <si>
    <t>Мистратов Виктор</t>
  </si>
  <si>
    <t>Открытая (10.02.1981)/39</t>
  </si>
  <si>
    <t>109,00</t>
  </si>
  <si>
    <t>345,0</t>
  </si>
  <si>
    <t>Воробьев Александр</t>
  </si>
  <si>
    <t>Мастера 45 - 49 (28.03.1972)/47</t>
  </si>
  <si>
    <t>100,40</t>
  </si>
  <si>
    <t>110</t>
  </si>
  <si>
    <t>Чемпионат Сибири
Любители жим лежа в однослойной экипировке
Красноярск/Красноярский край 8 - 9 марта 2020 г.</t>
  </si>
  <si>
    <t>Осипов Сергей</t>
  </si>
  <si>
    <t>Мастера 55 - 59 (06.03.1964)/56</t>
  </si>
  <si>
    <t>80,40</t>
  </si>
  <si>
    <t>Чемпионат Сибири
Любители жим лежа без экипировки
Красноярск/Красноярский край 8 - 9 марта 2020 г.</t>
  </si>
  <si>
    <t>ВЕСОВАЯ КАТЕГОРИЯ   44</t>
  </si>
  <si>
    <t>Бабина Шура</t>
  </si>
  <si>
    <t>Девушки 0-13 (01.07.2007)/12</t>
  </si>
  <si>
    <t>42,60</t>
  </si>
  <si>
    <t>32,5</t>
  </si>
  <si>
    <t>35,0</t>
  </si>
  <si>
    <t>37,5</t>
  </si>
  <si>
    <t xml:space="preserve">Бабин С. </t>
  </si>
  <si>
    <t>ВЕСОВАЯ КАТЕГОРИЯ   48</t>
  </si>
  <si>
    <t>Андреева Кристина</t>
  </si>
  <si>
    <t>Девушки 18 - 19 (26.10.2000)/19</t>
  </si>
  <si>
    <t>47,90</t>
  </si>
  <si>
    <t>52,5</t>
  </si>
  <si>
    <t>Кеслер Жанна</t>
  </si>
  <si>
    <t>Юниорки 20 - 23 (25.09.1998)/21</t>
  </si>
  <si>
    <t>46,30</t>
  </si>
  <si>
    <t>47,5</t>
  </si>
  <si>
    <t>Платонова Каролина</t>
  </si>
  <si>
    <t>Открытая (27.01.1990)/30</t>
  </si>
  <si>
    <t>Краснянская Анна</t>
  </si>
  <si>
    <t>Открытая (21.01.1983)/37</t>
  </si>
  <si>
    <t>55,60</t>
  </si>
  <si>
    <t>62,5</t>
  </si>
  <si>
    <t>67,5</t>
  </si>
  <si>
    <t>Кичева Елена</t>
  </si>
  <si>
    <t>Открытая (30.12.1991)/28</t>
  </si>
  <si>
    <t xml:space="preserve">Саянск/Иркутская область </t>
  </si>
  <si>
    <t>Колесникова Оксана</t>
  </si>
  <si>
    <t>Мастера 40 - 44 (11.10.1977)/42</t>
  </si>
  <si>
    <t>55,90</t>
  </si>
  <si>
    <t>60,0</t>
  </si>
  <si>
    <t>Строганова Анна</t>
  </si>
  <si>
    <t>Открытая (24.02.1990)/30</t>
  </si>
  <si>
    <t xml:space="preserve">Иркутск/Иркутская область </t>
  </si>
  <si>
    <t>70,0</t>
  </si>
  <si>
    <t>Сайфулина Наталья</t>
  </si>
  <si>
    <t>Открытая (14.01.1982)/38</t>
  </si>
  <si>
    <t>66,70</t>
  </si>
  <si>
    <t xml:space="preserve">Норильск/Красноярский край </t>
  </si>
  <si>
    <t>Куликова Ирина</t>
  </si>
  <si>
    <t>Открытая (23.02.1992)/28</t>
  </si>
  <si>
    <t>Зверева Наталья</t>
  </si>
  <si>
    <t>Открытая (13.10.1982)/37</t>
  </si>
  <si>
    <t>65,50</t>
  </si>
  <si>
    <t xml:space="preserve">Санкт-Петербург </t>
  </si>
  <si>
    <t>Кузьмина Алина</t>
  </si>
  <si>
    <t>Открытая (03.07.1988)/31</t>
  </si>
  <si>
    <t>Шаргородская Виктория</t>
  </si>
  <si>
    <t>Открытая (19.03.1988)/31</t>
  </si>
  <si>
    <t>67,80</t>
  </si>
  <si>
    <t>ВЕСОВАЯ КАТЕГОРИЯ   90+</t>
  </si>
  <si>
    <t>Русакова Мария</t>
  </si>
  <si>
    <t>Открытая (30.01.1995)/25</t>
  </si>
  <si>
    <t>91,00</t>
  </si>
  <si>
    <t>Вознюк Иван</t>
  </si>
  <si>
    <t>Юноши 0-13 (12.03.2008)/11</t>
  </si>
  <si>
    <t>62,10</t>
  </si>
  <si>
    <t>30,0</t>
  </si>
  <si>
    <t>Струенков Владислав</t>
  </si>
  <si>
    <t>Юноши 16 - 17 (11.04.2002)/17</t>
  </si>
  <si>
    <t>73,70</t>
  </si>
  <si>
    <t xml:space="preserve">Бородино/Красноярский край </t>
  </si>
  <si>
    <t>Смирнов Артём</t>
  </si>
  <si>
    <t>Открытая (10.07.1991)/28</t>
  </si>
  <si>
    <t>Миронов Артём</t>
  </si>
  <si>
    <t>Открытая (21.10.1991)/28</t>
  </si>
  <si>
    <t>80,70</t>
  </si>
  <si>
    <t>Зорченко Денис</t>
  </si>
  <si>
    <t>Открытая (24.05.1989)/30</t>
  </si>
  <si>
    <t>81,60</t>
  </si>
  <si>
    <t>147,5</t>
  </si>
  <si>
    <t xml:space="preserve">Харитонов С. </t>
  </si>
  <si>
    <t>Суслопаров Алексей</t>
  </si>
  <si>
    <t>Открытая (20.04.1982)/37</t>
  </si>
  <si>
    <t>82,00</t>
  </si>
  <si>
    <t>Мушников Кирилл</t>
  </si>
  <si>
    <t>Открытая (16.11.1982)/37</t>
  </si>
  <si>
    <t>Ильин Александр</t>
  </si>
  <si>
    <t>Мастера 55 - 59 (13.08.1960)/59</t>
  </si>
  <si>
    <t>77,80</t>
  </si>
  <si>
    <t>Григорьев Сергей</t>
  </si>
  <si>
    <t>Мастера 65 - 69 (22.08.1954)/65</t>
  </si>
  <si>
    <t>77,00</t>
  </si>
  <si>
    <t xml:space="preserve">Заозёрный/Красноярский край </t>
  </si>
  <si>
    <t>Марков Кирилл</t>
  </si>
  <si>
    <t>Юниоры 20 - 23 (03.12.1998)/21</t>
  </si>
  <si>
    <t>89,30</t>
  </si>
  <si>
    <t>172,5</t>
  </si>
  <si>
    <t>Бовин Константин</t>
  </si>
  <si>
    <t>Открытая (15.06.1991)/28</t>
  </si>
  <si>
    <t>87,60</t>
  </si>
  <si>
    <t>Капралов Григорий</t>
  </si>
  <si>
    <t>Открытая (06.11.1993)/26</t>
  </si>
  <si>
    <t>87,70</t>
  </si>
  <si>
    <t>Носов Александр</t>
  </si>
  <si>
    <t>Открытая (11.04.1984)/35</t>
  </si>
  <si>
    <t>88,85</t>
  </si>
  <si>
    <t>Сигитов Константин</t>
  </si>
  <si>
    <t>Открытая (10.05.1972)/47</t>
  </si>
  <si>
    <t>89,20</t>
  </si>
  <si>
    <t>Абрамов Андрей</t>
  </si>
  <si>
    <t>Открытая (17.04.1983)/36</t>
  </si>
  <si>
    <t>87,20</t>
  </si>
  <si>
    <t>Мастера 45 - 49 (10.05.1972)/47</t>
  </si>
  <si>
    <t>Головатый Олег</t>
  </si>
  <si>
    <t>Открытая (24.07.1994)/25</t>
  </si>
  <si>
    <t>98,10</t>
  </si>
  <si>
    <t>Головин Алексей</t>
  </si>
  <si>
    <t>Открытая (01.03.1986)/34</t>
  </si>
  <si>
    <t>99,70</t>
  </si>
  <si>
    <t>Смирнов Вадим</t>
  </si>
  <si>
    <t>107,00</t>
  </si>
  <si>
    <t>Скороспелов Александр</t>
  </si>
  <si>
    <t>Открытая (05.10.1990)/29</t>
  </si>
  <si>
    <t>102,10</t>
  </si>
  <si>
    <t>152,5</t>
  </si>
  <si>
    <t>Дружинин Пётр</t>
  </si>
  <si>
    <t>Открытая (27.08.1989)/30</t>
  </si>
  <si>
    <t>123,20</t>
  </si>
  <si>
    <t xml:space="preserve">Чита/Забайкальский край </t>
  </si>
  <si>
    <t>Семенов Александр</t>
  </si>
  <si>
    <t>Открытая (01.11.1981)/38</t>
  </si>
  <si>
    <t>122,80</t>
  </si>
  <si>
    <t>Крискович Кирилл</t>
  </si>
  <si>
    <t>Открытая (10.04.1988)/31</t>
  </si>
  <si>
    <t xml:space="preserve">Томск/Томская область </t>
  </si>
  <si>
    <t>Щегрин Николай</t>
  </si>
  <si>
    <t>Открытая (19.12.1992)/27</t>
  </si>
  <si>
    <t>137,70</t>
  </si>
  <si>
    <t>66,1938</t>
  </si>
  <si>
    <t>64,5675</t>
  </si>
  <si>
    <t>90+</t>
  </si>
  <si>
    <t>62,7800</t>
  </si>
  <si>
    <t>120,1821</t>
  </si>
  <si>
    <t>118,9100</t>
  </si>
  <si>
    <t>116,0640</t>
  </si>
  <si>
    <t>3</t>
  </si>
  <si>
    <t>4</t>
  </si>
  <si>
    <t>5</t>
  </si>
  <si>
    <t>Чемпионат Сибири
ПРО жим лежа без экипировки
Красноярск/Красноярский край 8 - 9 марта 2020 г.</t>
  </si>
  <si>
    <t>Вишняк Анна</t>
  </si>
  <si>
    <t>Открытая (12.12.1984)/35</t>
  </si>
  <si>
    <t>55,50</t>
  </si>
  <si>
    <t>102,5</t>
  </si>
  <si>
    <t>Плахута Виктор</t>
  </si>
  <si>
    <t>Открытая (14.12.1985)/34</t>
  </si>
  <si>
    <t>Макушов Андрей</t>
  </si>
  <si>
    <t>Открытая (21.07.1991)/28</t>
  </si>
  <si>
    <t>Скляров Юрий</t>
  </si>
  <si>
    <t>Мастера 40 - 44 (17.07.1978)/41</t>
  </si>
  <si>
    <t>162,2</t>
  </si>
  <si>
    <t>Григорьев Илья</t>
  </si>
  <si>
    <t>Открытая (12.01.1993)/27</t>
  </si>
  <si>
    <t>99,35</t>
  </si>
  <si>
    <t xml:space="preserve">Беловал Евгений </t>
  </si>
  <si>
    <t>Колесников Виктор</t>
  </si>
  <si>
    <t>Открытая (25.03.1993)/26</t>
  </si>
  <si>
    <t>99,50</t>
  </si>
  <si>
    <t>Корчагин Дмитрий</t>
  </si>
  <si>
    <t>Открытая (22.01.1992)/28</t>
  </si>
  <si>
    <t>107,30</t>
  </si>
  <si>
    <t>Ефременко Виталий</t>
  </si>
  <si>
    <t>Открытая (12.02.1985)/35</t>
  </si>
  <si>
    <t xml:space="preserve">Мариинск/Кемеровская область </t>
  </si>
  <si>
    <t>Илюхин Дмитрий</t>
  </si>
  <si>
    <t>108,70</t>
  </si>
  <si>
    <t>Гилек Сергей</t>
  </si>
  <si>
    <t>Мастера 40 - 44 (18.07.1977)/42</t>
  </si>
  <si>
    <t>110,90</t>
  </si>
  <si>
    <t>127,0080</t>
  </si>
  <si>
    <t>109,7409</t>
  </si>
  <si>
    <t>108,5025</t>
  </si>
  <si>
    <t>Чемпионат Сибири
Любители жим лежа в Софт экипировка однопетельная
Красноярск/Красноярский край 8 - 9 марта 2020 г.</t>
  </si>
  <si>
    <t>Артемов Дмитрий</t>
  </si>
  <si>
    <t>Мастера 40 - 44 (14.10.1975)/44</t>
  </si>
  <si>
    <t>Чемпионат Сибири
ПРО жим лежа Софт экипировка однопетельная
Красноярск/Красноярский край 8 - 9 марта 2020 г.</t>
  </si>
  <si>
    <t>Чемпионат Сибири
ПРО жим лежа в Софт экипировка многопетельная
Красноярск/Красноярский край 8 - 9 марта 2020 г.</t>
  </si>
  <si>
    <t>Кижайкина Марина</t>
  </si>
  <si>
    <t>Мастера 40 - 44 (18.04.1977)/42</t>
  </si>
  <si>
    <t>48,00</t>
  </si>
  <si>
    <t>Чемпионат Сибири
Любители становая тяга в однослойной экипировке
Красноярск/Красноярский край 8 - 9 марта 2020 г.</t>
  </si>
  <si>
    <t>Чемпионат Сибири
Любители становая тяга без экипировки
Красноярск/Красноярский край 8 - 9 марта 2020 г.</t>
  </si>
  <si>
    <t>Дьячкова Мария</t>
  </si>
  <si>
    <t>Открытая (28.03.1994)/25</t>
  </si>
  <si>
    <t>66,30</t>
  </si>
  <si>
    <t>Мордвинов Антон</t>
  </si>
  <si>
    <t>Юноши 16 - 17 (09.09.2002)/17</t>
  </si>
  <si>
    <t>74,20</t>
  </si>
  <si>
    <t>Чемпионат Сибири
ПРО становая тяга без экипировки
Красноярск/Красноярский край 8 - 9 марта 2020 г.</t>
  </si>
  <si>
    <t>Носиров Хуроншо</t>
  </si>
  <si>
    <t>Открытая (15.02.1992)/28</t>
  </si>
  <si>
    <t>Черняев Михаил</t>
  </si>
  <si>
    <t>Мастера 40 - 44 (09.05.1975)/44</t>
  </si>
  <si>
    <t>86,30</t>
  </si>
  <si>
    <t xml:space="preserve">Анжеро-Судженск/Кемеровская область </t>
  </si>
  <si>
    <t>262,5</t>
  </si>
  <si>
    <t>99,30</t>
  </si>
  <si>
    <t>Орлов Александр</t>
  </si>
  <si>
    <t>Открытая (04.03.1987)/33</t>
  </si>
  <si>
    <t>98,50</t>
  </si>
  <si>
    <t>272,5</t>
  </si>
  <si>
    <t>Торлопов Борис</t>
  </si>
  <si>
    <t>Открытая (13.12.1980)/39</t>
  </si>
  <si>
    <t>109,80</t>
  </si>
  <si>
    <t>Бардин Антон</t>
  </si>
  <si>
    <t>Открытая (17.11.1990)/29</t>
  </si>
  <si>
    <t>140,00</t>
  </si>
  <si>
    <t>375,0</t>
  </si>
  <si>
    <t>Чемпионат Сибири
Любители присед без экипировки
Красноярск/Красноярский край 8 - 9 марта 2020 г.</t>
  </si>
  <si>
    <t>Чемпионат Сибири
Силовое двоеборье любители
Красноярск/Красноярский край 8 - 9 марта 2020 г.</t>
  </si>
  <si>
    <t>Федюлин Роман</t>
  </si>
  <si>
    <t xml:space="preserve">Дивногорск/Красноярский край </t>
  </si>
  <si>
    <t>Юноши 18 - 19 (29.01.2002)/18</t>
  </si>
  <si>
    <t>Повторы</t>
  </si>
  <si>
    <t>Вес</t>
  </si>
  <si>
    <t>Тоннаж</t>
  </si>
  <si>
    <t>Народный жим</t>
  </si>
  <si>
    <t>НАП Н.Ж.</t>
  </si>
  <si>
    <t>Чемпионат Сибири
Профессионалы народный жим (1/2 вес)
Красноярск/Красноярский край 8 - 9 марта 2020 г.</t>
  </si>
  <si>
    <t>Дубинин Максим</t>
  </si>
  <si>
    <t>28,0</t>
  </si>
  <si>
    <t xml:space="preserve">Шелехов/Иркутская область </t>
  </si>
  <si>
    <t>102,50</t>
  </si>
  <si>
    <t>Открытая (25.08.1983)/36</t>
  </si>
  <si>
    <t>26,0</t>
  </si>
  <si>
    <t>87,5</t>
  </si>
  <si>
    <t>Чемпионат Сибири
Профессионалы народный жим (1 вес)
Красноярск/Красноярский край 8 - 9 марта 2020 г.</t>
  </si>
  <si>
    <t>73,80</t>
  </si>
  <si>
    <t>Открытая (19.02.1981)/39</t>
  </si>
  <si>
    <t>Самонова Юлия</t>
  </si>
  <si>
    <t>65,40</t>
  </si>
  <si>
    <t>Открытая (15.02.1967)/53</t>
  </si>
  <si>
    <t>Самонов Виктор</t>
  </si>
  <si>
    <t>Иванов Александр</t>
  </si>
  <si>
    <t>Романов Денис</t>
  </si>
  <si>
    <t>136,0</t>
  </si>
  <si>
    <t>107,60</t>
  </si>
  <si>
    <t>Открытая (09.01.1993)/27</t>
  </si>
  <si>
    <t>Нечаев Максимелиан</t>
  </si>
  <si>
    <t>99,10</t>
  </si>
  <si>
    <t>Открытая (24.04.1994)/25</t>
  </si>
  <si>
    <t>82,5</t>
  </si>
  <si>
    <t>Открытая (18.01.1987)/33</t>
  </si>
  <si>
    <t>67,10</t>
  </si>
  <si>
    <t>Открытая (13.04.1990)/29</t>
  </si>
  <si>
    <t>Страшко Виктор</t>
  </si>
  <si>
    <t>Подъем на бицепс</t>
  </si>
  <si>
    <t>Жим стоя</t>
  </si>
  <si>
    <t>Чемпионат Сибири
Пауэрспорт Профессионалы
Красноярск/Красноярский край 8 - 9 марта 2020 г.</t>
  </si>
  <si>
    <t>Наговицын Дмитрий</t>
  </si>
  <si>
    <t>57,5</t>
  </si>
  <si>
    <t xml:space="preserve">Туран/Тыва </t>
  </si>
  <si>
    <t>76,40</t>
  </si>
  <si>
    <t>Открытая (20.09.1995)/24</t>
  </si>
  <si>
    <t>Чемпионат Сибири
Пауэрспорт Любители
Красноярск/Красноярский край 8 - 9 марта 2020 г.</t>
  </si>
  <si>
    <t>Ефремов Вячеслав</t>
  </si>
  <si>
    <t>81,70</t>
  </si>
  <si>
    <t>Открытая (29.09.1988)/31</t>
  </si>
  <si>
    <t>Бондарь Иван</t>
  </si>
  <si>
    <t>Открытая (14.04.1985)/34</t>
  </si>
  <si>
    <t>Чемпионат Сибири
Одиночный подъём штанги на бицепс Профессионалы
Красноярск/Красноярский край 8 - 9 марта 2020 г.</t>
  </si>
  <si>
    <t>Юшков Игорь</t>
  </si>
  <si>
    <t>Парабина Марчел</t>
  </si>
  <si>
    <t>44,2125</t>
  </si>
  <si>
    <t>48,2962</t>
  </si>
  <si>
    <t>Страшко Никита</t>
  </si>
  <si>
    <t>48,7475</t>
  </si>
  <si>
    <t>Дягилев Матвей</t>
  </si>
  <si>
    <t>27,5</t>
  </si>
  <si>
    <t>Цитель Юлия</t>
  </si>
  <si>
    <t>42,5</t>
  </si>
  <si>
    <t xml:space="preserve">Горно-Алтайск/Алтайский край </t>
  </si>
  <si>
    <t>95,00</t>
  </si>
  <si>
    <t>Мастера 40 - 44 (13.05.1977)/42</t>
  </si>
  <si>
    <t>78,80</t>
  </si>
  <si>
    <t>Мастера 50 - 54 (14.10.1965)/54</t>
  </si>
  <si>
    <t>40,0</t>
  </si>
  <si>
    <t>81,00</t>
  </si>
  <si>
    <t>Открытая (13.05.1995)/24</t>
  </si>
  <si>
    <t>Глуховский Андрей</t>
  </si>
  <si>
    <t>78,30</t>
  </si>
  <si>
    <t>Открытая (22.01.1993)/27</t>
  </si>
  <si>
    <t>Подольский Иван</t>
  </si>
  <si>
    <t>68,60</t>
  </si>
  <si>
    <t>Открытая (04.06.1994)/25</t>
  </si>
  <si>
    <t>72,10</t>
  </si>
  <si>
    <t>Юноши 16 - 17 (25.03.2003)/16</t>
  </si>
  <si>
    <t>25,0</t>
  </si>
  <si>
    <t>22,5</t>
  </si>
  <si>
    <t xml:space="preserve">Бийск/Алтайский край </t>
  </si>
  <si>
    <t>51,50</t>
  </si>
  <si>
    <t>Открытая (21.05.1993)/26</t>
  </si>
  <si>
    <t>ВЕСОВАЯ КАТЕГОРИЯ   52</t>
  </si>
  <si>
    <t>Чемпионат Сибири
Одиночный подъём штанги на бицепс Любители
Красноярск/Красноярский край 8 - 9 марта 2020 г.</t>
  </si>
  <si>
    <t>Чемпионат Сибири
Одиночный жим штанги стоя Профессионалы
Красноярск/Красноярский край 8 - 9 марта 2020 г.</t>
  </si>
  <si>
    <t>Чемпионат Сибири
Одиночный жим штанги стоя Любители
Красноярск/Красноярский край 8 - 9 марта 2020 г.</t>
  </si>
  <si>
    <t>24,0</t>
  </si>
  <si>
    <t>ВЕСОВАЯ КАТЕГОРИЯ   All</t>
  </si>
  <si>
    <t>Русская становая</t>
  </si>
  <si>
    <t>Атлетизм</t>
  </si>
  <si>
    <t>Чемпионат Сибири
Русская станова тяга любители 100 кг.
Красноярск/Красноярский край 8 - 9 марта 2020 г.</t>
  </si>
  <si>
    <t>38,0</t>
  </si>
  <si>
    <t>Чемпионат Сибири
Русская станова тяга любители 55 кг.
Красноярск/Красноярский край 8 - 9 марта 2020 г.</t>
  </si>
  <si>
    <t>Свиридов Пётр</t>
  </si>
  <si>
    <t>91,50</t>
  </si>
  <si>
    <t>Русский жим</t>
  </si>
  <si>
    <t>Чемпионат Сибири
Русский жим любители 75 кг.
Красноярск/Красноярский край 8 - 9 марта 2020 г.</t>
  </si>
  <si>
    <t>48,0</t>
  </si>
  <si>
    <t>Чемпионат Сибири
Русский жим любители 55 кг.
Красноярск/Красноярский край 8 - 9 марта 2020 г.</t>
  </si>
  <si>
    <t>18,0</t>
  </si>
  <si>
    <t>Чемпионат Сибири
Русский жим любители 35 кг.
Красноярск/Красноярский край 8 - 9 марта 2020 г.</t>
  </si>
  <si>
    <t>Самостоятельно</t>
  </si>
  <si>
    <t xml:space="preserve">Лично </t>
  </si>
  <si>
    <t>Дядюк Михаил</t>
  </si>
  <si>
    <t>Чемпионат Сибири
ПРО становая тяга в однослойной экипировке
Красноярск/Красноярский край, 8 - 9 марта 2020 г.</t>
  </si>
  <si>
    <t>Самостоятльно</t>
  </si>
  <si>
    <t>Чемпионат Сибири
Любители пауэрлифтинг без экипировки
Красноярск/Красноярский край ,8 - 9 марта 2020 г.</t>
  </si>
  <si>
    <t>Чемпионат Сибири
ПРО пауэрлифтинг без экипировки
Красноярск/Красноярский край, 8 - 9 марта 2020 г.</t>
  </si>
  <si>
    <t>Чемпионат Сибири
Любители пауэрлифтинг в однопетельной софт экипировке
Красноярск/Красноярский край ,8 - 9 марта 2020 г.</t>
  </si>
  <si>
    <t>Чемпионат Сибири
ПРО пауэрлифтинг в многопетельной софт экипировке
Красноярск/Красноярский край, 8 - 9 марта 2020 г.</t>
  </si>
  <si>
    <t>Чемпионат Сибири
ПРО пауэрлифтинг в однопетельной софт экипировке
Красноярск/Красноярский край, 8 - 9 марта 2020 г.</t>
  </si>
  <si>
    <t>Антощук Виктория/РК,Красноярск</t>
  </si>
  <si>
    <t>Ефременко Виталий/НК,Кемерово</t>
  </si>
  <si>
    <t>Репницын Андрей/ МК, Екатеринбург</t>
  </si>
  <si>
    <t>Палей Андрей/МК,Магнитогорск</t>
  </si>
  <si>
    <t>Судьи:</t>
  </si>
  <si>
    <t>Сорокина Татьяна/ РК, Красноярск</t>
  </si>
  <si>
    <t>Судейская коллегия Siberian Power Show START 800</t>
  </si>
  <si>
    <t>Резинкин Александр/РК,Красноярск</t>
  </si>
  <si>
    <t>Мансуров Максим/РК,Красноярск</t>
  </si>
  <si>
    <t>Бойков Сергей /РК,Красноярск</t>
  </si>
  <si>
    <t>Ермолин Максим/РК,Красноярск</t>
  </si>
  <si>
    <t>Русакова Мария/РК,Ачинск</t>
  </si>
  <si>
    <t>Плешков Константин/РК,Красноярск</t>
  </si>
  <si>
    <t>Свиридов Владимир/РК,Искитим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</si>
</sst>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sz val="18"/>
      <name val="Arial Cyr"/>
      <family val="0"/>
    </font>
    <font>
      <b/>
      <strike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5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PageLayoutView="0" workbookViewId="0" topLeftCell="A1">
      <selection activeCell="A1" sqref="A1:V2"/>
    </sheetView>
  </sheetViews>
  <sheetFormatPr defaultColWidth="8.75390625" defaultRowHeight="12.75"/>
  <cols>
    <col min="1" max="1" width="7.375" style="5" bestFit="1" customWidth="1"/>
    <col min="2" max="2" width="22.00390625" style="5" bestFit="1" customWidth="1"/>
    <col min="3" max="3" width="29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40.12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7.375" style="5" bestFit="1" customWidth="1"/>
    <col min="23" max="16384" width="8.75390625" style="3" customWidth="1"/>
  </cols>
  <sheetData>
    <row r="1" spans="1:22" s="2" customFormat="1" ht="28.5" customHeight="1">
      <c r="A1" s="86" t="s">
        <v>587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121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0" t="s">
        <v>83</v>
      </c>
      <c r="B6" s="10" t="s">
        <v>122</v>
      </c>
      <c r="C6" s="10" t="s">
        <v>123</v>
      </c>
      <c r="D6" s="10" t="s">
        <v>124</v>
      </c>
      <c r="E6" s="10" t="str">
        <f>"0,9256"</f>
        <v>0,9256</v>
      </c>
      <c r="F6" s="10" t="s">
        <v>583</v>
      </c>
      <c r="G6" s="10" t="s">
        <v>125</v>
      </c>
      <c r="H6" s="11" t="s">
        <v>126</v>
      </c>
      <c r="I6" s="11" t="s">
        <v>127</v>
      </c>
      <c r="J6" s="11" t="s">
        <v>128</v>
      </c>
      <c r="K6" s="12"/>
      <c r="L6" s="13" t="s">
        <v>129</v>
      </c>
      <c r="M6" s="13" t="s">
        <v>129</v>
      </c>
      <c r="N6" s="13" t="s">
        <v>129</v>
      </c>
      <c r="O6" s="12"/>
      <c r="P6" s="13" t="s">
        <v>28</v>
      </c>
      <c r="Q6" s="12"/>
      <c r="R6" s="12"/>
      <c r="S6" s="12"/>
      <c r="T6" s="12" t="str">
        <f>"0.00"</f>
        <v>0.00</v>
      </c>
      <c r="U6" s="12" t="str">
        <f>"0,0000"</f>
        <v>0,0000</v>
      </c>
      <c r="V6" s="10" t="s">
        <v>582</v>
      </c>
    </row>
    <row r="7" ht="12.75">
      <c r="B7" s="5" t="s">
        <v>12</v>
      </c>
    </row>
    <row r="8" spans="1:21" ht="15">
      <c r="A8" s="84" t="s">
        <v>130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2" ht="12.75">
      <c r="A9" s="12" t="s">
        <v>43</v>
      </c>
      <c r="B9" s="10" t="s">
        <v>131</v>
      </c>
      <c r="C9" s="10" t="s">
        <v>132</v>
      </c>
      <c r="D9" s="10" t="s">
        <v>133</v>
      </c>
      <c r="E9" s="10" t="str">
        <f>"0,8609"</f>
        <v>0,8609</v>
      </c>
      <c r="F9" s="10" t="s">
        <v>583</v>
      </c>
      <c r="G9" s="10" t="s">
        <v>125</v>
      </c>
      <c r="H9" s="13" t="s">
        <v>134</v>
      </c>
      <c r="I9" s="11" t="s">
        <v>30</v>
      </c>
      <c r="J9" s="13" t="s">
        <v>135</v>
      </c>
      <c r="K9" s="12"/>
      <c r="L9" s="11" t="s">
        <v>136</v>
      </c>
      <c r="M9" s="13" t="s">
        <v>137</v>
      </c>
      <c r="N9" s="13" t="s">
        <v>137</v>
      </c>
      <c r="O9" s="12"/>
      <c r="P9" s="11" t="s">
        <v>138</v>
      </c>
      <c r="Q9" s="11" t="s">
        <v>139</v>
      </c>
      <c r="R9" s="13" t="s">
        <v>140</v>
      </c>
      <c r="S9" s="12"/>
      <c r="T9" s="12" t="str">
        <f>"247,5"</f>
        <v>247,5</v>
      </c>
      <c r="U9" s="12" t="str">
        <f>"213,0727"</f>
        <v>213,0727</v>
      </c>
      <c r="V9" s="10" t="s">
        <v>582</v>
      </c>
    </row>
    <row r="10" ht="12.75">
      <c r="B10" s="5" t="s">
        <v>12</v>
      </c>
    </row>
    <row r="11" spans="1:21" ht="15">
      <c r="A11" s="84" t="s">
        <v>19</v>
      </c>
      <c r="B11" s="8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2" ht="12.75">
      <c r="A12" s="12" t="s">
        <v>43</v>
      </c>
      <c r="B12" s="10" t="s">
        <v>141</v>
      </c>
      <c r="C12" s="10" t="s">
        <v>142</v>
      </c>
      <c r="D12" s="10" t="s">
        <v>143</v>
      </c>
      <c r="E12" s="10" t="str">
        <f>"0,7788"</f>
        <v>0,7788</v>
      </c>
      <c r="F12" s="10" t="s">
        <v>583</v>
      </c>
      <c r="G12" s="10" t="s">
        <v>144</v>
      </c>
      <c r="H12" s="11" t="s">
        <v>145</v>
      </c>
      <c r="I12" s="11" t="s">
        <v>146</v>
      </c>
      <c r="J12" s="13" t="s">
        <v>147</v>
      </c>
      <c r="K12" s="12"/>
      <c r="L12" s="11" t="s">
        <v>127</v>
      </c>
      <c r="M12" s="11" t="s">
        <v>128</v>
      </c>
      <c r="N12" s="11" t="s">
        <v>28</v>
      </c>
      <c r="O12" s="12"/>
      <c r="P12" s="11" t="s">
        <v>145</v>
      </c>
      <c r="Q12" s="11" t="s">
        <v>147</v>
      </c>
      <c r="R12" s="11" t="s">
        <v>148</v>
      </c>
      <c r="S12" s="12"/>
      <c r="T12" s="12" t="str">
        <f>"337,5"</f>
        <v>337,5</v>
      </c>
      <c r="U12" s="12" t="str">
        <f>"262,8281"</f>
        <v>262,8281</v>
      </c>
      <c r="V12" s="10" t="s">
        <v>149</v>
      </c>
    </row>
    <row r="13" ht="12.75">
      <c r="B13" s="5" t="s">
        <v>12</v>
      </c>
    </row>
    <row r="14" spans="1:21" ht="15">
      <c r="A14" s="84" t="s">
        <v>150</v>
      </c>
      <c r="B14" s="8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2" ht="12.75">
      <c r="A15" s="12" t="s">
        <v>43</v>
      </c>
      <c r="B15" s="10" t="s">
        <v>151</v>
      </c>
      <c r="C15" s="10" t="s">
        <v>152</v>
      </c>
      <c r="D15" s="10" t="s">
        <v>153</v>
      </c>
      <c r="E15" s="10" t="str">
        <f>"0,7233"</f>
        <v>0,7233</v>
      </c>
      <c r="F15" s="10" t="s">
        <v>583</v>
      </c>
      <c r="G15" s="10" t="s">
        <v>57</v>
      </c>
      <c r="H15" s="11" t="s">
        <v>146</v>
      </c>
      <c r="I15" s="11" t="s">
        <v>147</v>
      </c>
      <c r="J15" s="11" t="s">
        <v>154</v>
      </c>
      <c r="K15" s="12"/>
      <c r="L15" s="11" t="s">
        <v>155</v>
      </c>
      <c r="M15" s="13" t="s">
        <v>156</v>
      </c>
      <c r="N15" s="11" t="s">
        <v>156</v>
      </c>
      <c r="O15" s="12"/>
      <c r="P15" s="11" t="s">
        <v>101</v>
      </c>
      <c r="Q15" s="11" t="s">
        <v>102</v>
      </c>
      <c r="R15" s="13" t="s">
        <v>157</v>
      </c>
      <c r="S15" s="12"/>
      <c r="T15" s="12" t="str">
        <f>"355,0"</f>
        <v>355,0</v>
      </c>
      <c r="U15" s="12" t="str">
        <f>"264,4929"</f>
        <v>264,4929</v>
      </c>
      <c r="V15" s="10" t="s">
        <v>582</v>
      </c>
    </row>
    <row r="16" ht="12.75">
      <c r="B16" s="5" t="s">
        <v>12</v>
      </c>
    </row>
    <row r="17" spans="1:21" ht="15">
      <c r="A17" s="84" t="s">
        <v>19</v>
      </c>
      <c r="B17" s="84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2" ht="12.75">
      <c r="A18" s="19" t="s">
        <v>43</v>
      </c>
      <c r="B18" s="17" t="s">
        <v>158</v>
      </c>
      <c r="C18" s="17" t="s">
        <v>159</v>
      </c>
      <c r="D18" s="17" t="s">
        <v>160</v>
      </c>
      <c r="E18" s="17" t="str">
        <f>"0,7439"</f>
        <v>0,7439</v>
      </c>
      <c r="F18" s="17" t="s">
        <v>583</v>
      </c>
      <c r="G18" s="17" t="s">
        <v>75</v>
      </c>
      <c r="H18" s="18" t="s">
        <v>101</v>
      </c>
      <c r="I18" s="18" t="s">
        <v>119</v>
      </c>
      <c r="J18" s="18" t="s">
        <v>102</v>
      </c>
      <c r="K18" s="19"/>
      <c r="L18" s="18" t="s">
        <v>140</v>
      </c>
      <c r="M18" s="20" t="s">
        <v>161</v>
      </c>
      <c r="N18" s="20" t="s">
        <v>161</v>
      </c>
      <c r="O18" s="19"/>
      <c r="P18" s="18" t="s">
        <v>26</v>
      </c>
      <c r="Q18" s="18" t="s">
        <v>32</v>
      </c>
      <c r="R18" s="18" t="s">
        <v>59</v>
      </c>
      <c r="S18" s="19"/>
      <c r="T18" s="19" t="str">
        <f>"445,0"</f>
        <v>445,0</v>
      </c>
      <c r="U18" s="19" t="str">
        <f>"357,5183"</f>
        <v>357,5183</v>
      </c>
      <c r="V18" s="17" t="s">
        <v>582</v>
      </c>
    </row>
    <row r="19" spans="1:22" ht="12.75">
      <c r="A19" s="24" t="s">
        <v>43</v>
      </c>
      <c r="B19" s="21" t="s">
        <v>162</v>
      </c>
      <c r="C19" s="21" t="s">
        <v>163</v>
      </c>
      <c r="D19" s="21" t="s">
        <v>164</v>
      </c>
      <c r="E19" s="21" t="str">
        <f>"0,7387"</f>
        <v>0,7387</v>
      </c>
      <c r="F19" s="21" t="s">
        <v>583</v>
      </c>
      <c r="G19" s="21" t="s">
        <v>57</v>
      </c>
      <c r="H19" s="22" t="s">
        <v>146</v>
      </c>
      <c r="I19" s="22" t="s">
        <v>100</v>
      </c>
      <c r="J19" s="23" t="s">
        <v>165</v>
      </c>
      <c r="K19" s="24"/>
      <c r="L19" s="22" t="s">
        <v>138</v>
      </c>
      <c r="M19" s="23" t="s">
        <v>139</v>
      </c>
      <c r="N19" s="23" t="s">
        <v>139</v>
      </c>
      <c r="O19" s="24"/>
      <c r="P19" s="22" t="s">
        <v>102</v>
      </c>
      <c r="Q19" s="22" t="s">
        <v>72</v>
      </c>
      <c r="R19" s="22" t="s">
        <v>166</v>
      </c>
      <c r="S19" s="24"/>
      <c r="T19" s="24" t="str">
        <f>"392,5"</f>
        <v>392,5</v>
      </c>
      <c r="U19" s="24" t="str">
        <f>"289,9397"</f>
        <v>289,9397</v>
      </c>
      <c r="V19" s="21" t="s">
        <v>582</v>
      </c>
    </row>
    <row r="20" ht="12.75">
      <c r="B20" s="5" t="s">
        <v>12</v>
      </c>
    </row>
    <row r="21" spans="1:21" ht="15">
      <c r="A21" s="84" t="s">
        <v>150</v>
      </c>
      <c r="B21" s="8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</row>
    <row r="22" spans="1:22" ht="12.75">
      <c r="A22" s="19" t="s">
        <v>43</v>
      </c>
      <c r="B22" s="17" t="s">
        <v>167</v>
      </c>
      <c r="C22" s="17" t="s">
        <v>168</v>
      </c>
      <c r="D22" s="17" t="s">
        <v>169</v>
      </c>
      <c r="E22" s="17" t="str">
        <f>"0,6652"</f>
        <v>0,6652</v>
      </c>
      <c r="F22" s="17" t="s">
        <v>583</v>
      </c>
      <c r="G22" s="17" t="s">
        <v>170</v>
      </c>
      <c r="H22" s="18" t="s">
        <v>100</v>
      </c>
      <c r="I22" s="18" t="s">
        <v>102</v>
      </c>
      <c r="J22" s="18" t="s">
        <v>171</v>
      </c>
      <c r="K22" s="19"/>
      <c r="L22" s="18" t="s">
        <v>145</v>
      </c>
      <c r="M22" s="18" t="s">
        <v>147</v>
      </c>
      <c r="N22" s="20" t="s">
        <v>100</v>
      </c>
      <c r="O22" s="19"/>
      <c r="P22" s="18" t="s">
        <v>31</v>
      </c>
      <c r="Q22" s="18" t="s">
        <v>59</v>
      </c>
      <c r="R22" s="20" t="s">
        <v>27</v>
      </c>
      <c r="S22" s="19"/>
      <c r="T22" s="19" t="str">
        <f>"472,5"</f>
        <v>472,5</v>
      </c>
      <c r="U22" s="19" t="str">
        <f>"320,5931"</f>
        <v>320,5931</v>
      </c>
      <c r="V22" s="17" t="s">
        <v>34</v>
      </c>
    </row>
    <row r="23" spans="1:22" ht="12.75">
      <c r="A23" s="24" t="s">
        <v>43</v>
      </c>
      <c r="B23" s="21" t="s">
        <v>172</v>
      </c>
      <c r="C23" s="21" t="s">
        <v>173</v>
      </c>
      <c r="D23" s="21" t="s">
        <v>174</v>
      </c>
      <c r="E23" s="21" t="str">
        <f>"0,6745"</f>
        <v>0,6745</v>
      </c>
      <c r="F23" s="21" t="s">
        <v>583</v>
      </c>
      <c r="G23" s="21" t="s">
        <v>175</v>
      </c>
      <c r="H23" s="22" t="s">
        <v>161</v>
      </c>
      <c r="I23" s="22" t="s">
        <v>145</v>
      </c>
      <c r="J23" s="23" t="s">
        <v>146</v>
      </c>
      <c r="K23" s="24"/>
      <c r="L23" s="23" t="s">
        <v>128</v>
      </c>
      <c r="M23" s="22" t="s">
        <v>128</v>
      </c>
      <c r="N23" s="23" t="s">
        <v>28</v>
      </c>
      <c r="O23" s="24"/>
      <c r="P23" s="22" t="s">
        <v>100</v>
      </c>
      <c r="Q23" s="22" t="s">
        <v>165</v>
      </c>
      <c r="R23" s="22" t="s">
        <v>101</v>
      </c>
      <c r="S23" s="24"/>
      <c r="T23" s="24" t="str">
        <f>"335,0"</f>
        <v>335,0</v>
      </c>
      <c r="U23" s="24" t="str">
        <f>"225,9575"</f>
        <v>225,9575</v>
      </c>
      <c r="V23" s="21" t="s">
        <v>176</v>
      </c>
    </row>
    <row r="24" ht="12.75">
      <c r="B24" s="5" t="s">
        <v>12</v>
      </c>
    </row>
    <row r="25" spans="1:21" ht="15">
      <c r="A25" s="84" t="s">
        <v>44</v>
      </c>
      <c r="B25" s="84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2" ht="12.75">
      <c r="A26" s="19" t="s">
        <v>43</v>
      </c>
      <c r="B26" s="17" t="s">
        <v>177</v>
      </c>
      <c r="C26" s="17" t="s">
        <v>178</v>
      </c>
      <c r="D26" s="17" t="s">
        <v>179</v>
      </c>
      <c r="E26" s="17" t="str">
        <f>"0,6268"</f>
        <v>0,6268</v>
      </c>
      <c r="F26" s="17" t="s">
        <v>583</v>
      </c>
      <c r="G26" s="17" t="s">
        <v>175</v>
      </c>
      <c r="H26" s="18" t="s">
        <v>102</v>
      </c>
      <c r="I26" s="18" t="s">
        <v>72</v>
      </c>
      <c r="J26" s="20" t="s">
        <v>25</v>
      </c>
      <c r="K26" s="19"/>
      <c r="L26" s="18" t="s">
        <v>139</v>
      </c>
      <c r="M26" s="18" t="s">
        <v>140</v>
      </c>
      <c r="N26" s="20" t="s">
        <v>180</v>
      </c>
      <c r="O26" s="19"/>
      <c r="P26" s="18" t="s">
        <v>102</v>
      </c>
      <c r="Q26" s="18" t="s">
        <v>72</v>
      </c>
      <c r="R26" s="18" t="s">
        <v>31</v>
      </c>
      <c r="S26" s="19"/>
      <c r="T26" s="19" t="str">
        <f>"435,0"</f>
        <v>435,0</v>
      </c>
      <c r="U26" s="19" t="str">
        <f>"278,1112"</f>
        <v>278,1112</v>
      </c>
      <c r="V26" s="17" t="s">
        <v>176</v>
      </c>
    </row>
    <row r="27" spans="1:22" ht="12.75">
      <c r="A27" s="28" t="s">
        <v>43</v>
      </c>
      <c r="B27" s="25" t="s">
        <v>181</v>
      </c>
      <c r="C27" s="25" t="s">
        <v>182</v>
      </c>
      <c r="D27" s="25" t="s">
        <v>183</v>
      </c>
      <c r="E27" s="25" t="str">
        <f>"0,6246"</f>
        <v>0,6246</v>
      </c>
      <c r="F27" s="25" t="s">
        <v>583</v>
      </c>
      <c r="G27" s="25" t="s">
        <v>144</v>
      </c>
      <c r="H27" s="26" t="s">
        <v>26</v>
      </c>
      <c r="I27" s="27" t="s">
        <v>26</v>
      </c>
      <c r="J27" s="26" t="s">
        <v>59</v>
      </c>
      <c r="K27" s="28"/>
      <c r="L27" s="27" t="s">
        <v>184</v>
      </c>
      <c r="M27" s="27" t="s">
        <v>185</v>
      </c>
      <c r="N27" s="27" t="s">
        <v>119</v>
      </c>
      <c r="O27" s="28"/>
      <c r="P27" s="27" t="s">
        <v>55</v>
      </c>
      <c r="Q27" s="27" t="s">
        <v>109</v>
      </c>
      <c r="R27" s="26" t="s">
        <v>186</v>
      </c>
      <c r="S27" s="28"/>
      <c r="T27" s="28" t="str">
        <f>"555,0"</f>
        <v>555,0</v>
      </c>
      <c r="U27" s="28" t="str">
        <f>"346,6530"</f>
        <v>346,6530</v>
      </c>
      <c r="V27" s="25" t="s">
        <v>187</v>
      </c>
    </row>
    <row r="28" spans="1:22" ht="12.75">
      <c r="A28" s="28" t="s">
        <v>84</v>
      </c>
      <c r="B28" s="25" t="s">
        <v>188</v>
      </c>
      <c r="C28" s="25" t="s">
        <v>189</v>
      </c>
      <c r="D28" s="25" t="s">
        <v>88</v>
      </c>
      <c r="E28" s="25" t="str">
        <f>"0,6203"</f>
        <v>0,6203</v>
      </c>
      <c r="F28" s="25" t="s">
        <v>583</v>
      </c>
      <c r="G28" s="25" t="s">
        <v>170</v>
      </c>
      <c r="H28" s="27" t="s">
        <v>26</v>
      </c>
      <c r="I28" s="27" t="s">
        <v>59</v>
      </c>
      <c r="J28" s="26" t="s">
        <v>60</v>
      </c>
      <c r="K28" s="28"/>
      <c r="L28" s="27" t="s">
        <v>147</v>
      </c>
      <c r="M28" s="27" t="s">
        <v>165</v>
      </c>
      <c r="N28" s="26" t="s">
        <v>184</v>
      </c>
      <c r="O28" s="28"/>
      <c r="P28" s="27" t="s">
        <v>109</v>
      </c>
      <c r="Q28" s="26" t="s">
        <v>186</v>
      </c>
      <c r="R28" s="26" t="s">
        <v>186</v>
      </c>
      <c r="S28" s="28"/>
      <c r="T28" s="28" t="str">
        <f>"555,0"</f>
        <v>555,0</v>
      </c>
      <c r="U28" s="28" t="str">
        <f>"344,2665"</f>
        <v>344,2665</v>
      </c>
      <c r="V28" s="25" t="s">
        <v>190</v>
      </c>
    </row>
    <row r="29" spans="1:22" ht="12.75">
      <c r="A29" s="24" t="s">
        <v>43</v>
      </c>
      <c r="B29" s="21" t="s">
        <v>191</v>
      </c>
      <c r="C29" s="21" t="s">
        <v>192</v>
      </c>
      <c r="D29" s="21" t="s">
        <v>193</v>
      </c>
      <c r="E29" s="21" t="str">
        <f>"0,6324"</f>
        <v>0,6324</v>
      </c>
      <c r="F29" s="21" t="s">
        <v>583</v>
      </c>
      <c r="G29" s="21" t="s">
        <v>57</v>
      </c>
      <c r="H29" s="22" t="s">
        <v>102</v>
      </c>
      <c r="I29" s="22" t="s">
        <v>157</v>
      </c>
      <c r="J29" s="23" t="s">
        <v>194</v>
      </c>
      <c r="K29" s="24"/>
      <c r="L29" s="22" t="s">
        <v>145</v>
      </c>
      <c r="M29" s="22" t="s">
        <v>147</v>
      </c>
      <c r="N29" s="23" t="s">
        <v>148</v>
      </c>
      <c r="O29" s="24"/>
      <c r="P29" s="22" t="s">
        <v>25</v>
      </c>
      <c r="Q29" s="23" t="s">
        <v>77</v>
      </c>
      <c r="R29" s="23" t="s">
        <v>77</v>
      </c>
      <c r="S29" s="24"/>
      <c r="T29" s="24" t="str">
        <f>"465,0"</f>
        <v>465,0</v>
      </c>
      <c r="U29" s="24" t="str">
        <f>"294,0660"</f>
        <v>294,0660</v>
      </c>
      <c r="V29" s="21" t="s">
        <v>34</v>
      </c>
    </row>
    <row r="30" ht="12.75">
      <c r="B30" s="5" t="s">
        <v>12</v>
      </c>
    </row>
    <row r="31" spans="1:21" ht="15">
      <c r="A31" s="84" t="s">
        <v>56</v>
      </c>
      <c r="B31" s="84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</row>
    <row r="32" spans="1:22" ht="12.75">
      <c r="A32" s="19" t="s">
        <v>43</v>
      </c>
      <c r="B32" s="17" t="s">
        <v>195</v>
      </c>
      <c r="C32" s="17" t="s">
        <v>196</v>
      </c>
      <c r="D32" s="17" t="s">
        <v>197</v>
      </c>
      <c r="E32" s="17" t="str">
        <f>"0,5543"</f>
        <v>0,5543</v>
      </c>
      <c r="F32" s="17" t="s">
        <v>583</v>
      </c>
      <c r="G32" s="17" t="s">
        <v>125</v>
      </c>
      <c r="H32" s="20" t="s">
        <v>72</v>
      </c>
      <c r="I32" s="18" t="s">
        <v>157</v>
      </c>
      <c r="J32" s="18" t="s">
        <v>194</v>
      </c>
      <c r="K32" s="19"/>
      <c r="L32" s="18" t="s">
        <v>100</v>
      </c>
      <c r="M32" s="18" t="s">
        <v>101</v>
      </c>
      <c r="N32" s="18" t="s">
        <v>185</v>
      </c>
      <c r="O32" s="19"/>
      <c r="P32" s="20" t="s">
        <v>31</v>
      </c>
      <c r="Q32" s="18" t="s">
        <v>25</v>
      </c>
      <c r="R32" s="18" t="s">
        <v>32</v>
      </c>
      <c r="S32" s="19"/>
      <c r="T32" s="19" t="str">
        <f>"505,0"</f>
        <v>505,0</v>
      </c>
      <c r="U32" s="19" t="str">
        <f>"279,9215"</f>
        <v>279,9215</v>
      </c>
      <c r="V32" s="17" t="s">
        <v>34</v>
      </c>
    </row>
    <row r="33" spans="1:22" ht="12.75">
      <c r="A33" s="24" t="s">
        <v>84</v>
      </c>
      <c r="B33" s="21" t="s">
        <v>198</v>
      </c>
      <c r="C33" s="21" t="s">
        <v>199</v>
      </c>
      <c r="D33" s="21" t="s">
        <v>200</v>
      </c>
      <c r="E33" s="21" t="str">
        <f>"0,5586"</f>
        <v>0,5586</v>
      </c>
      <c r="F33" s="21" t="s">
        <v>583</v>
      </c>
      <c r="G33" s="21" t="s">
        <v>125</v>
      </c>
      <c r="H33" s="22" t="s">
        <v>72</v>
      </c>
      <c r="I33" s="22" t="s">
        <v>31</v>
      </c>
      <c r="J33" s="22" t="s">
        <v>25</v>
      </c>
      <c r="K33" s="24"/>
      <c r="L33" s="23" t="s">
        <v>154</v>
      </c>
      <c r="M33" s="22" t="s">
        <v>165</v>
      </c>
      <c r="N33" s="23" t="s">
        <v>101</v>
      </c>
      <c r="O33" s="24"/>
      <c r="P33" s="22" t="s">
        <v>157</v>
      </c>
      <c r="Q33" s="22" t="s">
        <v>25</v>
      </c>
      <c r="R33" s="22" t="s">
        <v>26</v>
      </c>
      <c r="S33" s="24"/>
      <c r="T33" s="24" t="str">
        <f>"490,0"</f>
        <v>490,0</v>
      </c>
      <c r="U33" s="24" t="str">
        <f>"273,7140"</f>
        <v>273,7140</v>
      </c>
      <c r="V33" s="21" t="s">
        <v>34</v>
      </c>
    </row>
    <row r="34" ht="12.75">
      <c r="B34" s="5" t="s">
        <v>12</v>
      </c>
    </row>
    <row r="35" spans="2:6" ht="15">
      <c r="B35" s="5" t="s">
        <v>12</v>
      </c>
      <c r="F35" s="7"/>
    </row>
    <row r="36" spans="2:6" ht="15">
      <c r="B36" s="5" t="s">
        <v>12</v>
      </c>
      <c r="F36" s="7"/>
    </row>
    <row r="37" spans="2:6" ht="15">
      <c r="B37" s="5" t="s">
        <v>12</v>
      </c>
      <c r="F37" s="7"/>
    </row>
    <row r="38" spans="2:6" ht="15">
      <c r="B38" s="5" t="s">
        <v>12</v>
      </c>
      <c r="F38" s="7"/>
    </row>
    <row r="39" spans="2:6" ht="15">
      <c r="B39" s="5" t="s">
        <v>12</v>
      </c>
      <c r="F39" s="7"/>
    </row>
    <row r="40" spans="2:6" ht="15">
      <c r="B40" s="5" t="s">
        <v>12</v>
      </c>
      <c r="F40" s="7"/>
    </row>
    <row r="41" spans="2:6" ht="15">
      <c r="B41" s="5" t="s">
        <v>12</v>
      </c>
      <c r="F41" s="7"/>
    </row>
    <row r="42" ht="12.75">
      <c r="B42" s="5" t="s">
        <v>12</v>
      </c>
    </row>
    <row r="43" spans="2:4" ht="18">
      <c r="B43" s="5" t="s">
        <v>12</v>
      </c>
      <c r="C43" s="8" t="s">
        <v>11</v>
      </c>
      <c r="D43" s="8"/>
    </row>
    <row r="44" spans="2:4" ht="15">
      <c r="B44" s="5" t="s">
        <v>12</v>
      </c>
      <c r="C44" s="14"/>
      <c r="D44" s="14"/>
    </row>
    <row r="45" spans="2:4" ht="15">
      <c r="B45" s="5" t="s">
        <v>12</v>
      </c>
      <c r="C45" s="14" t="s">
        <v>35</v>
      </c>
      <c r="D45" s="15"/>
    </row>
    <row r="46" spans="2:7" ht="15">
      <c r="B46" s="5" t="s">
        <v>12</v>
      </c>
      <c r="C46" s="1"/>
      <c r="D46" s="1"/>
      <c r="E46" s="1"/>
      <c r="F46" s="1"/>
      <c r="G46" s="1"/>
    </row>
    <row r="47" spans="2:4" ht="14.25">
      <c r="B47" s="5" t="s">
        <v>12</v>
      </c>
      <c r="C47" s="15"/>
      <c r="D47" s="15" t="s">
        <v>36</v>
      </c>
    </row>
    <row r="48" spans="2:7" ht="15">
      <c r="B48" s="5" t="s">
        <v>12</v>
      </c>
      <c r="C48" s="9" t="s">
        <v>37</v>
      </c>
      <c r="D48" s="9" t="s">
        <v>38</v>
      </c>
      <c r="E48" s="9" t="s">
        <v>39</v>
      </c>
      <c r="F48" s="9" t="s">
        <v>40</v>
      </c>
      <c r="G48" s="9" t="s">
        <v>41</v>
      </c>
    </row>
    <row r="49" spans="2:7" ht="12.75">
      <c r="B49" s="5" t="s">
        <v>12</v>
      </c>
      <c r="C49" s="5" t="s">
        <v>181</v>
      </c>
      <c r="D49" s="5" t="s">
        <v>36</v>
      </c>
      <c r="E49" s="6" t="s">
        <v>81</v>
      </c>
      <c r="F49" s="6" t="s">
        <v>204</v>
      </c>
      <c r="G49" s="6" t="s">
        <v>205</v>
      </c>
    </row>
    <row r="50" spans="2:7" ht="12.75">
      <c r="B50" s="5" t="s">
        <v>12</v>
      </c>
      <c r="C50" s="5" t="s">
        <v>188</v>
      </c>
      <c r="D50" s="5" t="s">
        <v>36</v>
      </c>
      <c r="E50" s="6" t="s">
        <v>81</v>
      </c>
      <c r="F50" s="6" t="s">
        <v>204</v>
      </c>
      <c r="G50" s="6" t="s">
        <v>206</v>
      </c>
    </row>
    <row r="51" spans="2:7" ht="12.75">
      <c r="B51" s="5" t="s">
        <v>12</v>
      </c>
      <c r="C51" s="5" t="s">
        <v>162</v>
      </c>
      <c r="D51" s="5" t="s">
        <v>36</v>
      </c>
      <c r="E51" s="6" t="s">
        <v>42</v>
      </c>
      <c r="F51" s="6" t="s">
        <v>207</v>
      </c>
      <c r="G51" s="6" t="s">
        <v>208</v>
      </c>
    </row>
    <row r="52" ht="12.75">
      <c r="B52" s="5" t="s">
        <v>12</v>
      </c>
    </row>
    <row r="53" ht="12.75">
      <c r="B53" s="5" t="s">
        <v>12</v>
      </c>
    </row>
    <row r="54" ht="12.75">
      <c r="B54" s="5" t="s">
        <v>12</v>
      </c>
    </row>
    <row r="55" spans="2:4" ht="15">
      <c r="B55" s="5" t="s">
        <v>12</v>
      </c>
      <c r="C55" s="14"/>
      <c r="D55" s="14"/>
    </row>
    <row r="56" spans="2:4" ht="14.25">
      <c r="B56" s="5" t="s">
        <v>12</v>
      </c>
      <c r="C56" s="15"/>
      <c r="D56" s="15"/>
    </row>
    <row r="57" spans="2:7" ht="15">
      <c r="B57" s="5" t="s">
        <v>12</v>
      </c>
      <c r="C57" s="1"/>
      <c r="D57" s="1"/>
      <c r="E57" s="1"/>
      <c r="F57" s="1"/>
      <c r="G57" s="1"/>
    </row>
    <row r="58" spans="2:7" ht="12.75">
      <c r="B58" s="5" t="s">
        <v>12</v>
      </c>
      <c r="E58" s="6"/>
      <c r="F58" s="6"/>
      <c r="G58" s="6"/>
    </row>
    <row r="59" ht="12.75">
      <c r="B59" s="5" t="s">
        <v>12</v>
      </c>
    </row>
    <row r="60" spans="2:4" ht="14.25">
      <c r="B60" s="5" t="s">
        <v>12</v>
      </c>
      <c r="C60" s="15"/>
      <c r="D60" s="15"/>
    </row>
    <row r="61" spans="2:7" ht="15">
      <c r="B61" s="5" t="s">
        <v>12</v>
      </c>
      <c r="C61" s="1"/>
      <c r="D61" s="1"/>
      <c r="E61" s="1"/>
      <c r="F61" s="1"/>
      <c r="G61" s="1"/>
    </row>
    <row r="62" spans="2:7" ht="12.75">
      <c r="B62" s="5" t="s">
        <v>12</v>
      </c>
      <c r="E62" s="6"/>
      <c r="F62" s="6"/>
      <c r="G62" s="6"/>
    </row>
    <row r="63" spans="2:7" ht="12.75">
      <c r="B63" s="5" t="s">
        <v>12</v>
      </c>
      <c r="E63" s="6"/>
      <c r="F63" s="6"/>
      <c r="G63" s="6"/>
    </row>
    <row r="64" ht="12.75">
      <c r="B64" s="5" t="s">
        <v>12</v>
      </c>
    </row>
    <row r="65" spans="2:4" ht="14.25">
      <c r="B65" s="5" t="s">
        <v>12</v>
      </c>
      <c r="C65" s="15"/>
      <c r="D65" s="15"/>
    </row>
    <row r="66" spans="2:7" ht="15">
      <c r="B66" s="5" t="s">
        <v>12</v>
      </c>
      <c r="C66" s="1"/>
      <c r="D66" s="1"/>
      <c r="E66" s="1"/>
      <c r="F66" s="1"/>
      <c r="G66" s="1"/>
    </row>
    <row r="67" spans="2:7" ht="12.75">
      <c r="B67" s="5" t="s">
        <v>12</v>
      </c>
      <c r="E67" s="6"/>
      <c r="F67" s="6"/>
      <c r="G67" s="6"/>
    </row>
    <row r="68" spans="2:7" ht="12.75">
      <c r="B68" s="5" t="s">
        <v>12</v>
      </c>
      <c r="E68" s="6"/>
      <c r="F68" s="6"/>
      <c r="G68" s="6"/>
    </row>
    <row r="69" spans="2:7" ht="12.75">
      <c r="B69" s="5" t="s">
        <v>12</v>
      </c>
      <c r="E69" s="6"/>
      <c r="F69" s="6"/>
      <c r="G69" s="6"/>
    </row>
    <row r="70" ht="12.75">
      <c r="B70" s="5" t="s">
        <v>12</v>
      </c>
    </row>
    <row r="71" spans="2:4" ht="14.25">
      <c r="B71" s="5" t="s">
        <v>12</v>
      </c>
      <c r="C71" s="15"/>
      <c r="D71" s="15"/>
    </row>
    <row r="72" spans="2:7" ht="15">
      <c r="B72" s="5" t="s">
        <v>12</v>
      </c>
      <c r="C72" s="1"/>
      <c r="D72" s="1"/>
      <c r="E72" s="1"/>
      <c r="F72" s="1"/>
      <c r="G72" s="1"/>
    </row>
    <row r="73" spans="2:7" ht="12.75">
      <c r="B73" s="5" t="s">
        <v>12</v>
      </c>
      <c r="E73" s="6"/>
      <c r="F73" s="6"/>
      <c r="G73" s="6"/>
    </row>
    <row r="74" ht="12.75">
      <c r="B74" s="5" t="s">
        <v>12</v>
      </c>
    </row>
  </sheetData>
  <sheetProtection/>
  <mergeCells count="22">
    <mergeCell ref="B3:B4"/>
    <mergeCell ref="T3:T4"/>
    <mergeCell ref="U3:U4"/>
    <mergeCell ref="V3:V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31:U31"/>
    <mergeCell ref="A5:U5"/>
    <mergeCell ref="A14:U14"/>
    <mergeCell ref="A17:U17"/>
    <mergeCell ref="A21:U21"/>
    <mergeCell ref="A25:U25"/>
    <mergeCell ref="A8:U8"/>
    <mergeCell ref="A11:U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C1">
      <selection activeCell="N19" sqref="N19"/>
    </sheetView>
  </sheetViews>
  <sheetFormatPr defaultColWidth="8.75390625" defaultRowHeight="12.75"/>
  <cols>
    <col min="1" max="1" width="7.375" style="5" bestFit="1" customWidth="1"/>
    <col min="2" max="2" width="16.62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7.25390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6.625" style="5" bestFit="1" customWidth="1"/>
    <col min="15" max="16384" width="8.75390625" style="3" customWidth="1"/>
  </cols>
  <sheetData>
    <row r="1" spans="1:14" s="2" customFormat="1" ht="28.5" customHeight="1">
      <c r="A1" s="86" t="s">
        <v>459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18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47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9" t="s">
        <v>43</v>
      </c>
      <c r="B6" s="17" t="s">
        <v>460</v>
      </c>
      <c r="C6" s="17" t="s">
        <v>461</v>
      </c>
      <c r="D6" s="17" t="s">
        <v>225</v>
      </c>
      <c r="E6" s="17" t="str">
        <f>"0,6036"</f>
        <v>0,6036</v>
      </c>
      <c r="F6" s="17" t="s">
        <v>23</v>
      </c>
      <c r="G6" s="17" t="s">
        <v>57</v>
      </c>
      <c r="H6" s="18" t="s">
        <v>26</v>
      </c>
      <c r="I6" s="18" t="s">
        <v>32</v>
      </c>
      <c r="J6" s="18" t="s">
        <v>59</v>
      </c>
      <c r="K6" s="19"/>
      <c r="L6" s="19" t="str">
        <f>"190,0"</f>
        <v>190,0</v>
      </c>
      <c r="M6" s="19" t="str">
        <f>"114,6840"</f>
        <v>114,6840</v>
      </c>
      <c r="N6" s="17" t="s">
        <v>582</v>
      </c>
    </row>
    <row r="7" spans="1:14" ht="12.75">
      <c r="A7" s="24" t="s">
        <v>43</v>
      </c>
      <c r="B7" s="21" t="s">
        <v>462</v>
      </c>
      <c r="C7" s="21" t="s">
        <v>463</v>
      </c>
      <c r="D7" s="21" t="s">
        <v>464</v>
      </c>
      <c r="E7" s="21" t="str">
        <f>"0,6009"</f>
        <v>0,6009</v>
      </c>
      <c r="F7" s="21" t="s">
        <v>23</v>
      </c>
      <c r="G7" s="21" t="s">
        <v>465</v>
      </c>
      <c r="H7" s="22" t="s">
        <v>66</v>
      </c>
      <c r="I7" s="22" t="s">
        <v>466</v>
      </c>
      <c r="J7" s="23" t="s">
        <v>46</v>
      </c>
      <c r="K7" s="24"/>
      <c r="L7" s="24" t="str">
        <f>"262,5"</f>
        <v>262,5</v>
      </c>
      <c r="M7" s="24" t="str">
        <f>"162,6261"</f>
        <v>162,6261</v>
      </c>
      <c r="N7" s="21" t="s">
        <v>582</v>
      </c>
    </row>
    <row r="8" ht="12.75">
      <c r="B8" s="5" t="s">
        <v>12</v>
      </c>
    </row>
    <row r="9" spans="1:13" ht="15">
      <c r="A9" s="84" t="s">
        <v>56</v>
      </c>
      <c r="B9" s="8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4" ht="12.75">
      <c r="A10" s="19" t="s">
        <v>43</v>
      </c>
      <c r="B10" s="17" t="s">
        <v>422</v>
      </c>
      <c r="C10" s="17" t="s">
        <v>423</v>
      </c>
      <c r="D10" s="17" t="s">
        <v>467</v>
      </c>
      <c r="E10" s="17" t="str">
        <f>"0,5558"</f>
        <v>0,5558</v>
      </c>
      <c r="F10" s="17" t="s">
        <v>23</v>
      </c>
      <c r="G10" s="17" t="s">
        <v>170</v>
      </c>
      <c r="H10" s="20" t="s">
        <v>46</v>
      </c>
      <c r="I10" s="18" t="s">
        <v>46</v>
      </c>
      <c r="J10" s="18" t="s">
        <v>53</v>
      </c>
      <c r="K10" s="19"/>
      <c r="L10" s="19" t="str">
        <f>"285,0"</f>
        <v>285,0</v>
      </c>
      <c r="M10" s="19" t="str">
        <f>"158,4030"</f>
        <v>158,4030</v>
      </c>
      <c r="N10" s="17" t="s">
        <v>425</v>
      </c>
    </row>
    <row r="11" spans="1:14" ht="12.75">
      <c r="A11" s="24" t="s">
        <v>84</v>
      </c>
      <c r="B11" s="21" t="s">
        <v>468</v>
      </c>
      <c r="C11" s="21" t="s">
        <v>469</v>
      </c>
      <c r="D11" s="21" t="s">
        <v>470</v>
      </c>
      <c r="E11" s="21" t="str">
        <f>"0,5578"</f>
        <v>0,5578</v>
      </c>
      <c r="F11" s="21" t="s">
        <v>23</v>
      </c>
      <c r="G11" s="21" t="s">
        <v>304</v>
      </c>
      <c r="H11" s="22" t="s">
        <v>45</v>
      </c>
      <c r="I11" s="22" t="s">
        <v>471</v>
      </c>
      <c r="J11" s="23" t="s">
        <v>227</v>
      </c>
      <c r="K11" s="24"/>
      <c r="L11" s="24" t="str">
        <f>"272,5"</f>
        <v>272,5</v>
      </c>
      <c r="M11" s="24" t="str">
        <f>"152,0005"</f>
        <v>152,0005</v>
      </c>
      <c r="N11" s="21" t="s">
        <v>582</v>
      </c>
    </row>
    <row r="12" spans="1:2" ht="12.75">
      <c r="A12" s="6"/>
      <c r="B12" s="5" t="s">
        <v>12</v>
      </c>
    </row>
    <row r="13" spans="1:13" ht="15">
      <c r="A13" s="84" t="s">
        <v>257</v>
      </c>
      <c r="B13" s="8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4" ht="12.75">
      <c r="A14" s="12" t="s">
        <v>43</v>
      </c>
      <c r="B14" s="10" t="s">
        <v>472</v>
      </c>
      <c r="C14" s="10" t="s">
        <v>473</v>
      </c>
      <c r="D14" s="10" t="s">
        <v>474</v>
      </c>
      <c r="E14" s="10" t="str">
        <f>"0,5367"</f>
        <v>0,5367</v>
      </c>
      <c r="F14" s="10" t="s">
        <v>23</v>
      </c>
      <c r="G14" s="10" t="s">
        <v>125</v>
      </c>
      <c r="H14" s="11" t="s">
        <v>45</v>
      </c>
      <c r="I14" s="11" t="s">
        <v>108</v>
      </c>
      <c r="J14" s="11" t="s">
        <v>53</v>
      </c>
      <c r="K14" s="12"/>
      <c r="L14" s="12" t="str">
        <f>"285,0"</f>
        <v>285,0</v>
      </c>
      <c r="M14" s="12" t="str">
        <f>"152,9595"</f>
        <v>152,9595</v>
      </c>
      <c r="N14" s="10" t="s">
        <v>584</v>
      </c>
    </row>
    <row r="15" ht="12.75">
      <c r="B15" s="5" t="s">
        <v>12</v>
      </c>
    </row>
    <row r="16" spans="1:13" ht="15">
      <c r="A16" s="84" t="s">
        <v>71</v>
      </c>
      <c r="B16" s="84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4" ht="12.75">
      <c r="A17" s="12" t="s">
        <v>43</v>
      </c>
      <c r="B17" s="10" t="s">
        <v>475</v>
      </c>
      <c r="C17" s="10" t="s">
        <v>476</v>
      </c>
      <c r="D17" s="10" t="s">
        <v>477</v>
      </c>
      <c r="E17" s="10" t="str">
        <f>"0,5035"</f>
        <v>0,5035</v>
      </c>
      <c r="F17" s="10" t="s">
        <v>23</v>
      </c>
      <c r="G17" s="10" t="s">
        <v>465</v>
      </c>
      <c r="H17" s="11" t="s">
        <v>478</v>
      </c>
      <c r="I17" s="13" t="s">
        <v>61</v>
      </c>
      <c r="J17" s="12"/>
      <c r="K17" s="12"/>
      <c r="L17" s="12" t="str">
        <f>"375,0"</f>
        <v>375,0</v>
      </c>
      <c r="M17" s="12" t="str">
        <f>"188,8125"</f>
        <v>188,8125</v>
      </c>
      <c r="N17" s="10" t="s">
        <v>582</v>
      </c>
    </row>
    <row r="18" ht="12.75">
      <c r="B18" s="5" t="s">
        <v>12</v>
      </c>
    </row>
    <row r="19" spans="2:6" ht="15">
      <c r="B19" s="5" t="s">
        <v>12</v>
      </c>
      <c r="F19" s="7"/>
    </row>
    <row r="20" spans="2:6" ht="15">
      <c r="B20" s="5" t="s">
        <v>12</v>
      </c>
      <c r="F20" s="7"/>
    </row>
    <row r="21" spans="2:6" ht="15">
      <c r="B21" s="5" t="s">
        <v>12</v>
      </c>
      <c r="F21" s="7"/>
    </row>
    <row r="22" spans="2:6" ht="15">
      <c r="B22" s="5" t="s">
        <v>12</v>
      </c>
      <c r="F22" s="7"/>
    </row>
    <row r="23" spans="2:6" ht="15">
      <c r="B23" s="5" t="s">
        <v>12</v>
      </c>
      <c r="F23" s="7"/>
    </row>
    <row r="24" spans="2:6" ht="15">
      <c r="B24" s="5" t="s">
        <v>12</v>
      </c>
      <c r="F24" s="7"/>
    </row>
    <row r="25" spans="2:6" ht="15">
      <c r="B25" s="5" t="s">
        <v>12</v>
      </c>
      <c r="F25" s="7"/>
    </row>
    <row r="26" ht="12.75">
      <c r="B26" s="5" t="s">
        <v>12</v>
      </c>
    </row>
    <row r="27" spans="2:4" ht="18">
      <c r="B27" s="5" t="s">
        <v>12</v>
      </c>
      <c r="C27" s="8"/>
      <c r="D27" s="8"/>
    </row>
    <row r="28" spans="2:4" ht="15">
      <c r="B28" s="5" t="s">
        <v>12</v>
      </c>
      <c r="C28" s="14"/>
      <c r="D28" s="14"/>
    </row>
    <row r="29" spans="2:4" ht="14.25">
      <c r="B29" s="5" t="s">
        <v>12</v>
      </c>
      <c r="C29" s="15"/>
      <c r="D29" s="15"/>
    </row>
    <row r="30" spans="2:7" ht="15">
      <c r="B30" s="5" t="s">
        <v>12</v>
      </c>
      <c r="C30" s="1"/>
      <c r="D30" s="1"/>
      <c r="E30" s="1"/>
      <c r="F30" s="1"/>
      <c r="G30" s="1"/>
    </row>
    <row r="31" spans="2:7" ht="12.75">
      <c r="B31" s="5" t="s">
        <v>12</v>
      </c>
      <c r="E31" s="6"/>
      <c r="F31" s="6"/>
      <c r="G31" s="6"/>
    </row>
    <row r="32" spans="2:7" ht="12.75">
      <c r="B32" s="5" t="s">
        <v>12</v>
      </c>
      <c r="E32" s="6"/>
      <c r="F32" s="6"/>
      <c r="G32" s="6"/>
    </row>
    <row r="33" spans="2:7" ht="12.75">
      <c r="B33" s="5" t="s">
        <v>12</v>
      </c>
      <c r="E33" s="6"/>
      <c r="F33" s="6"/>
      <c r="G33" s="6"/>
    </row>
    <row r="34" ht="12.75">
      <c r="B34" s="5" t="s">
        <v>12</v>
      </c>
    </row>
    <row r="35" spans="2:4" ht="14.25">
      <c r="B35" s="5" t="s">
        <v>12</v>
      </c>
      <c r="C35" s="15"/>
      <c r="D35" s="15"/>
    </row>
    <row r="36" spans="2:7" ht="15">
      <c r="B36" s="5" t="s">
        <v>12</v>
      </c>
      <c r="C36" s="1"/>
      <c r="D36" s="1"/>
      <c r="E36" s="1"/>
      <c r="F36" s="1"/>
      <c r="G36" s="1"/>
    </row>
    <row r="37" spans="2:7" ht="12.75">
      <c r="B37" s="5" t="s">
        <v>12</v>
      </c>
      <c r="E37" s="6"/>
      <c r="F37" s="6"/>
      <c r="G37" s="6"/>
    </row>
    <row r="38" ht="12.75">
      <c r="B38" s="5" t="s">
        <v>12</v>
      </c>
    </row>
  </sheetData>
  <sheetProtection/>
  <mergeCells count="16">
    <mergeCell ref="A1:N2"/>
    <mergeCell ref="A3:A4"/>
    <mergeCell ref="C3:C4"/>
    <mergeCell ref="D3:D4"/>
    <mergeCell ref="E3:E4"/>
    <mergeCell ref="F3:F4"/>
    <mergeCell ref="G3:G4"/>
    <mergeCell ref="H3:K3"/>
    <mergeCell ref="A16:M16"/>
    <mergeCell ref="B3:B4"/>
    <mergeCell ref="L3:L4"/>
    <mergeCell ref="M3:M4"/>
    <mergeCell ref="N3:N4"/>
    <mergeCell ref="A5:M5"/>
    <mergeCell ref="A9:M9"/>
    <mergeCell ref="A13:M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C1">
      <selection activeCell="N19" sqref="N19"/>
    </sheetView>
  </sheetViews>
  <sheetFormatPr defaultColWidth="8.75390625" defaultRowHeight="12.75"/>
  <cols>
    <col min="1" max="1" width="7.375" style="5" bestFit="1" customWidth="1"/>
    <col min="2" max="2" width="18.37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452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18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121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122</v>
      </c>
      <c r="C6" s="10" t="s">
        <v>123</v>
      </c>
      <c r="D6" s="10" t="s">
        <v>124</v>
      </c>
      <c r="E6" s="10" t="str">
        <f>"0,9256"</f>
        <v>0,9256</v>
      </c>
      <c r="F6" s="10" t="s">
        <v>23</v>
      </c>
      <c r="G6" s="10" t="s">
        <v>125</v>
      </c>
      <c r="H6" s="11" t="s">
        <v>128</v>
      </c>
      <c r="I6" s="11" t="s">
        <v>134</v>
      </c>
      <c r="J6" s="13" t="s">
        <v>138</v>
      </c>
      <c r="K6" s="12"/>
      <c r="L6" s="12" t="str">
        <f>"90,0"</f>
        <v>90,0</v>
      </c>
      <c r="M6" s="12" t="str">
        <f>"83,3040"</f>
        <v>83,3040</v>
      </c>
      <c r="N6" s="10" t="s">
        <v>582</v>
      </c>
    </row>
    <row r="7" ht="12.75">
      <c r="B7" s="5" t="s">
        <v>12</v>
      </c>
    </row>
    <row r="8" spans="1:13" ht="15">
      <c r="A8" s="84" t="s">
        <v>19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19" t="s">
        <v>43</v>
      </c>
      <c r="B9" s="17" t="s">
        <v>306</v>
      </c>
      <c r="C9" s="17" t="s">
        <v>307</v>
      </c>
      <c r="D9" s="17" t="s">
        <v>308</v>
      </c>
      <c r="E9" s="17" t="str">
        <f>"0,7872"</f>
        <v>0,7872</v>
      </c>
      <c r="F9" s="17" t="s">
        <v>23</v>
      </c>
      <c r="G9" s="17" t="s">
        <v>309</v>
      </c>
      <c r="H9" s="18" t="s">
        <v>100</v>
      </c>
      <c r="I9" s="18" t="s">
        <v>101</v>
      </c>
      <c r="J9" s="18" t="s">
        <v>119</v>
      </c>
      <c r="K9" s="19"/>
      <c r="L9" s="19" t="str">
        <f>"145,0"</f>
        <v>145,0</v>
      </c>
      <c r="M9" s="19" t="str">
        <f>"114,1440"</f>
        <v>114,1440</v>
      </c>
      <c r="N9" s="17" t="s">
        <v>582</v>
      </c>
    </row>
    <row r="10" spans="1:14" ht="12.75">
      <c r="A10" s="24" t="s">
        <v>84</v>
      </c>
      <c r="B10" s="21" t="s">
        <v>453</v>
      </c>
      <c r="C10" s="21" t="s">
        <v>454</v>
      </c>
      <c r="D10" s="21" t="s">
        <v>455</v>
      </c>
      <c r="E10" s="21" t="str">
        <f>"0,7913"</f>
        <v>0,7913</v>
      </c>
      <c r="F10" s="21" t="s">
        <v>23</v>
      </c>
      <c r="G10" s="21" t="s">
        <v>247</v>
      </c>
      <c r="H10" s="22" t="s">
        <v>146</v>
      </c>
      <c r="I10" s="22" t="s">
        <v>100</v>
      </c>
      <c r="J10" s="23" t="s">
        <v>101</v>
      </c>
      <c r="K10" s="24"/>
      <c r="L10" s="24" t="str">
        <f>"130,0"</f>
        <v>130,0</v>
      </c>
      <c r="M10" s="24" t="str">
        <f>"102,8690"</f>
        <v>102,8690</v>
      </c>
      <c r="N10" s="21" t="s">
        <v>582</v>
      </c>
    </row>
    <row r="11" ht="12.75">
      <c r="B11" s="5" t="s">
        <v>12</v>
      </c>
    </row>
    <row r="12" spans="1:13" ht="15">
      <c r="A12" s="84" t="s">
        <v>150</v>
      </c>
      <c r="B12" s="8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4" ht="12.75">
      <c r="A13" s="12" t="s">
        <v>43</v>
      </c>
      <c r="B13" s="10" t="s">
        <v>456</v>
      </c>
      <c r="C13" s="10" t="s">
        <v>457</v>
      </c>
      <c r="D13" s="10" t="s">
        <v>458</v>
      </c>
      <c r="E13" s="10" t="str">
        <f>"0,6701"</f>
        <v>0,6701</v>
      </c>
      <c r="F13" s="10" t="s">
        <v>23</v>
      </c>
      <c r="G13" s="10" t="s">
        <v>216</v>
      </c>
      <c r="H13" s="11" t="s">
        <v>26</v>
      </c>
      <c r="I13" s="11" t="s">
        <v>59</v>
      </c>
      <c r="J13" s="11" t="s">
        <v>78</v>
      </c>
      <c r="K13" s="12"/>
      <c r="L13" s="12" t="str">
        <f>"205,0"</f>
        <v>205,0</v>
      </c>
      <c r="M13" s="12" t="str">
        <f>"148,3601"</f>
        <v>148,3601</v>
      </c>
      <c r="N13" s="10" t="s">
        <v>582</v>
      </c>
    </row>
    <row r="14" ht="12.75">
      <c r="B14" s="5" t="s">
        <v>12</v>
      </c>
    </row>
    <row r="15" spans="1:13" ht="15">
      <c r="A15" s="84" t="s">
        <v>44</v>
      </c>
      <c r="B15" s="8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4" ht="12.75">
      <c r="A16" s="19" t="s">
        <v>43</v>
      </c>
      <c r="B16" s="17" t="s">
        <v>188</v>
      </c>
      <c r="C16" s="17" t="s">
        <v>189</v>
      </c>
      <c r="D16" s="17" t="s">
        <v>88</v>
      </c>
      <c r="E16" s="17" t="str">
        <f>"0,6203"</f>
        <v>0,6203</v>
      </c>
      <c r="F16" s="17" t="s">
        <v>23</v>
      </c>
      <c r="G16" s="17" t="s">
        <v>170</v>
      </c>
      <c r="H16" s="18" t="s">
        <v>109</v>
      </c>
      <c r="I16" s="20" t="s">
        <v>186</v>
      </c>
      <c r="J16" s="20" t="s">
        <v>186</v>
      </c>
      <c r="K16" s="19"/>
      <c r="L16" s="19" t="str">
        <f>"230,0"</f>
        <v>230,0</v>
      </c>
      <c r="M16" s="19" t="str">
        <f>"142,6690"</f>
        <v>142,6690</v>
      </c>
      <c r="N16" s="17" t="s">
        <v>190</v>
      </c>
    </row>
    <row r="17" spans="1:14" ht="12.75">
      <c r="A17" s="24" t="s">
        <v>43</v>
      </c>
      <c r="B17" s="21" t="s">
        <v>348</v>
      </c>
      <c r="C17" s="21" t="s">
        <v>349</v>
      </c>
      <c r="D17" s="21" t="s">
        <v>350</v>
      </c>
      <c r="E17" s="21" t="str">
        <f>"0,6461"</f>
        <v>0,6461</v>
      </c>
      <c r="F17" s="21" t="s">
        <v>23</v>
      </c>
      <c r="G17" s="21" t="s">
        <v>247</v>
      </c>
      <c r="H17" s="22" t="s">
        <v>102</v>
      </c>
      <c r="I17" s="22" t="s">
        <v>72</v>
      </c>
      <c r="J17" s="24"/>
      <c r="K17" s="24"/>
      <c r="L17" s="24" t="str">
        <f>"160,0"</f>
        <v>160,0</v>
      </c>
      <c r="M17" s="24" t="str">
        <f>"164,3678"</f>
        <v>164,3678</v>
      </c>
      <c r="N17" s="21" t="s">
        <v>582</v>
      </c>
    </row>
    <row r="18" ht="12.75">
      <c r="B18" s="5" t="s">
        <v>12</v>
      </c>
    </row>
    <row r="19" spans="2:6" ht="15">
      <c r="B19" s="5" t="s">
        <v>12</v>
      </c>
      <c r="F19" s="7"/>
    </row>
    <row r="20" spans="2:6" ht="15">
      <c r="B20" s="5" t="s">
        <v>12</v>
      </c>
      <c r="F20" s="7"/>
    </row>
    <row r="21" spans="2:6" ht="15">
      <c r="B21" s="5" t="s">
        <v>12</v>
      </c>
      <c r="F21" s="7"/>
    </row>
    <row r="22" spans="2:6" ht="15">
      <c r="B22" s="5" t="s">
        <v>12</v>
      </c>
      <c r="F22" s="7"/>
    </row>
    <row r="23" spans="2:6" ht="15">
      <c r="B23" s="5" t="s">
        <v>12</v>
      </c>
      <c r="F23" s="7"/>
    </row>
    <row r="24" spans="2:6" ht="15">
      <c r="B24" s="5" t="s">
        <v>12</v>
      </c>
      <c r="F24" s="7"/>
    </row>
    <row r="25" spans="2:6" ht="15">
      <c r="B25" s="5" t="s">
        <v>12</v>
      </c>
      <c r="F25" s="7"/>
    </row>
    <row r="26" ht="12.75">
      <c r="B26" s="5" t="s">
        <v>12</v>
      </c>
    </row>
    <row r="27" spans="2:4" ht="18">
      <c r="B27" s="5" t="s">
        <v>12</v>
      </c>
      <c r="C27" s="8"/>
      <c r="D27" s="8"/>
    </row>
    <row r="28" spans="2:4" ht="15">
      <c r="B28" s="5" t="s">
        <v>12</v>
      </c>
      <c r="C28" s="14"/>
      <c r="D28" s="14"/>
    </row>
    <row r="29" spans="2:4" ht="14.25">
      <c r="B29" s="5" t="s">
        <v>12</v>
      </c>
      <c r="C29" s="15"/>
      <c r="D29" s="15"/>
    </row>
    <row r="30" spans="2:7" ht="15">
      <c r="B30" s="5" t="s">
        <v>12</v>
      </c>
      <c r="C30" s="1"/>
      <c r="D30" s="1"/>
      <c r="E30" s="1"/>
      <c r="F30" s="1"/>
      <c r="G30" s="1"/>
    </row>
    <row r="31" spans="2:7" ht="12.75">
      <c r="B31" s="5" t="s">
        <v>12</v>
      </c>
      <c r="E31" s="6"/>
      <c r="F31" s="6"/>
      <c r="G31" s="6"/>
    </row>
    <row r="32" spans="2:7" ht="12.75">
      <c r="B32" s="5" t="s">
        <v>12</v>
      </c>
      <c r="E32" s="6"/>
      <c r="F32" s="6"/>
      <c r="G32" s="6"/>
    </row>
    <row r="33" spans="2:7" ht="12.75">
      <c r="B33" s="5" t="s">
        <v>12</v>
      </c>
      <c r="E33" s="6"/>
      <c r="F33" s="6"/>
      <c r="G33" s="6"/>
    </row>
    <row r="34" ht="12.75">
      <c r="B34" s="5" t="s">
        <v>12</v>
      </c>
    </row>
    <row r="35" ht="12.75">
      <c r="B35" s="5" t="s">
        <v>12</v>
      </c>
    </row>
    <row r="36" spans="2:4" ht="15">
      <c r="B36" s="5" t="s">
        <v>12</v>
      </c>
      <c r="C36" s="14"/>
      <c r="D36" s="14"/>
    </row>
    <row r="37" spans="2:4" ht="14.25">
      <c r="B37" s="5" t="s">
        <v>12</v>
      </c>
      <c r="C37" s="15"/>
      <c r="D37" s="15"/>
    </row>
    <row r="38" spans="2:7" ht="15">
      <c r="B38" s="5" t="s">
        <v>12</v>
      </c>
      <c r="C38" s="1"/>
      <c r="D38" s="1"/>
      <c r="E38" s="1"/>
      <c r="F38" s="1"/>
      <c r="G38" s="1"/>
    </row>
    <row r="39" spans="2:7" ht="12.75">
      <c r="B39" s="5" t="s">
        <v>12</v>
      </c>
      <c r="E39" s="6"/>
      <c r="F39" s="6"/>
      <c r="G39" s="6"/>
    </row>
    <row r="40" ht="12.75">
      <c r="B40" s="5" t="s">
        <v>12</v>
      </c>
    </row>
    <row r="41" spans="2:4" ht="14.25">
      <c r="B41" s="5" t="s">
        <v>12</v>
      </c>
      <c r="C41" s="15"/>
      <c r="D41" s="15"/>
    </row>
    <row r="42" spans="2:7" ht="15">
      <c r="B42" s="5" t="s">
        <v>12</v>
      </c>
      <c r="C42" s="1"/>
      <c r="D42" s="1"/>
      <c r="E42" s="1"/>
      <c r="F42" s="1"/>
      <c r="G42" s="1"/>
    </row>
    <row r="43" spans="2:7" ht="12.75">
      <c r="B43" s="5" t="s">
        <v>12</v>
      </c>
      <c r="E43" s="6"/>
      <c r="F43" s="6"/>
      <c r="G43" s="6"/>
    </row>
    <row r="44" ht="12.75">
      <c r="B44" s="5" t="s">
        <v>12</v>
      </c>
    </row>
    <row r="45" spans="2:4" ht="14.25">
      <c r="B45" s="5" t="s">
        <v>12</v>
      </c>
      <c r="C45" s="15"/>
      <c r="D45" s="15"/>
    </row>
    <row r="46" spans="2:7" ht="15">
      <c r="B46" s="5" t="s">
        <v>12</v>
      </c>
      <c r="C46" s="1"/>
      <c r="D46" s="1"/>
      <c r="E46" s="1"/>
      <c r="F46" s="1"/>
      <c r="G46" s="1"/>
    </row>
    <row r="47" spans="2:7" ht="12.75">
      <c r="B47" s="5" t="s">
        <v>12</v>
      </c>
      <c r="E47" s="6"/>
      <c r="F47" s="6"/>
      <c r="G47" s="6"/>
    </row>
    <row r="48" ht="12.75">
      <c r="B48" s="5" t="s">
        <v>12</v>
      </c>
    </row>
  </sheetData>
  <sheetProtection/>
  <mergeCells count="16">
    <mergeCell ref="A1:N2"/>
    <mergeCell ref="A3:A4"/>
    <mergeCell ref="C3:C4"/>
    <mergeCell ref="D3:D4"/>
    <mergeCell ref="E3:E4"/>
    <mergeCell ref="F3:F4"/>
    <mergeCell ref="G3:G4"/>
    <mergeCell ref="H3:K3"/>
    <mergeCell ref="A15:M15"/>
    <mergeCell ref="B3:B4"/>
    <mergeCell ref="L3:L4"/>
    <mergeCell ref="M3:M4"/>
    <mergeCell ref="N3:N4"/>
    <mergeCell ref="A5:M5"/>
    <mergeCell ref="A8:M8"/>
    <mergeCell ref="A12:M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3">
      <selection activeCell="F12" sqref="F12"/>
    </sheetView>
  </sheetViews>
  <sheetFormatPr defaultColWidth="8.75390625" defaultRowHeight="12.75"/>
  <cols>
    <col min="1" max="1" width="7.375" style="5" bestFit="1" customWidth="1"/>
    <col min="2" max="2" width="12.62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8.875" style="5" bestFit="1" customWidth="1"/>
    <col min="15" max="16384" width="8.75390625" style="3" customWidth="1"/>
  </cols>
  <sheetData>
    <row r="1" spans="1:14" s="2" customFormat="1" ht="28.5" customHeight="1">
      <c r="A1" s="86" t="s">
        <v>585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18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121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411</v>
      </c>
      <c r="C6" s="10" t="s">
        <v>412</v>
      </c>
      <c r="D6" s="10" t="s">
        <v>413</v>
      </c>
      <c r="E6" s="10" t="str">
        <f>"0,9187"</f>
        <v>0,9187</v>
      </c>
      <c r="F6" s="10" t="s">
        <v>23</v>
      </c>
      <c r="G6" s="10" t="s">
        <v>125</v>
      </c>
      <c r="H6" s="11" t="s">
        <v>102</v>
      </c>
      <c r="I6" s="11" t="s">
        <v>31</v>
      </c>
      <c r="J6" s="13" t="s">
        <v>93</v>
      </c>
      <c r="K6" s="12"/>
      <c r="L6" s="12" t="str">
        <f>"170,0"</f>
        <v>170,0</v>
      </c>
      <c r="M6" s="12" t="str">
        <f>"156,1790"</f>
        <v>156,1790</v>
      </c>
      <c r="N6" s="10" t="s">
        <v>34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H12" sqref="H12"/>
    </sheetView>
  </sheetViews>
  <sheetFormatPr defaultColWidth="8.75390625" defaultRowHeight="12.75"/>
  <cols>
    <col min="1" max="1" width="7.375" style="5" bestFit="1" customWidth="1"/>
    <col min="2" max="2" width="19.7539062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9.1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451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18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44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86</v>
      </c>
      <c r="C6" s="10" t="s">
        <v>87</v>
      </c>
      <c r="D6" s="10" t="s">
        <v>88</v>
      </c>
      <c r="E6" s="10" t="str">
        <f>"0,6203"</f>
        <v>0,6203</v>
      </c>
      <c r="F6" s="10" t="s">
        <v>23</v>
      </c>
      <c r="G6" s="10" t="s">
        <v>57</v>
      </c>
      <c r="H6" s="13" t="s">
        <v>66</v>
      </c>
      <c r="I6" s="11" t="s">
        <v>66</v>
      </c>
      <c r="J6" s="13" t="s">
        <v>45</v>
      </c>
      <c r="K6" s="12"/>
      <c r="L6" s="12" t="str">
        <f>"240,0"</f>
        <v>240,0</v>
      </c>
      <c r="M6" s="12" t="str">
        <f>"148,8720"</f>
        <v>148,8720</v>
      </c>
      <c r="N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6" sqref="A6"/>
    </sheetView>
  </sheetViews>
  <sheetFormatPr defaultColWidth="8.75390625" defaultRowHeight="12.75"/>
  <cols>
    <col min="1" max="1" width="7.375" style="5" bestFit="1" customWidth="1"/>
    <col min="2" max="2" width="17.7539062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625" style="5" bestFit="1" customWidth="1"/>
    <col min="8" max="10" width="4.625" style="6" bestFit="1" customWidth="1"/>
    <col min="11" max="11" width="4.875" style="6" bestFit="1" customWidth="1"/>
    <col min="12" max="12" width="11.25390625" style="6" bestFit="1" customWidth="1"/>
    <col min="13" max="13" width="7.625" style="6" bestFit="1" customWidth="1"/>
    <col min="14" max="14" width="8.875" style="5" bestFit="1" customWidth="1"/>
    <col min="15" max="16384" width="8.75390625" style="3" customWidth="1"/>
  </cols>
  <sheetData>
    <row r="1" spans="1:14" s="2" customFormat="1" ht="28.5" customHeight="1">
      <c r="A1" s="86" t="s">
        <v>447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279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448</v>
      </c>
      <c r="C6" s="10" t="s">
        <v>449</v>
      </c>
      <c r="D6" s="10" t="s">
        <v>450</v>
      </c>
      <c r="E6" s="10" t="str">
        <f>"1,0345"</f>
        <v>1,0345</v>
      </c>
      <c r="F6" s="10" t="s">
        <v>23</v>
      </c>
      <c r="G6" s="10" t="s">
        <v>125</v>
      </c>
      <c r="H6" s="11" t="s">
        <v>128</v>
      </c>
      <c r="I6" s="13" t="s">
        <v>28</v>
      </c>
      <c r="J6" s="11" t="s">
        <v>28</v>
      </c>
      <c r="K6" s="12"/>
      <c r="L6" s="12" t="str">
        <f>"85,0"</f>
        <v>85,0</v>
      </c>
      <c r="M6" s="12" t="str">
        <f>"88,7196"</f>
        <v>88,7196</v>
      </c>
      <c r="N6" s="10" t="s">
        <v>34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G11" sqref="G11"/>
    </sheetView>
  </sheetViews>
  <sheetFormatPr defaultColWidth="8.75390625" defaultRowHeight="12.75"/>
  <cols>
    <col min="1" max="1" width="7.375" style="5" bestFit="1" customWidth="1"/>
    <col min="2" max="2" width="13.7539062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8.25390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4.125" style="5" bestFit="1" customWidth="1"/>
    <col min="15" max="16384" width="8.75390625" style="3" customWidth="1"/>
  </cols>
  <sheetData>
    <row r="1" spans="1:14" s="2" customFormat="1" ht="28.5" customHeight="1">
      <c r="A1" s="86" t="s">
        <v>446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47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419</v>
      </c>
      <c r="C6" s="10" t="s">
        <v>420</v>
      </c>
      <c r="D6" s="10" t="s">
        <v>51</v>
      </c>
      <c r="E6" s="10" t="str">
        <f>"0,5853"</f>
        <v>0,5853</v>
      </c>
      <c r="F6" s="10" t="s">
        <v>23</v>
      </c>
      <c r="G6" s="10" t="s">
        <v>221</v>
      </c>
      <c r="H6" s="11" t="s">
        <v>55</v>
      </c>
      <c r="I6" s="13" t="s">
        <v>113</v>
      </c>
      <c r="J6" s="11" t="s">
        <v>113</v>
      </c>
      <c r="K6" s="12"/>
      <c r="L6" s="12" t="str">
        <f>"225,0"</f>
        <v>225,0</v>
      </c>
      <c r="M6" s="12" t="str">
        <f>"132,0876"</f>
        <v>132,0876</v>
      </c>
      <c r="N6" s="10" t="s">
        <v>586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C1">
      <selection activeCell="N18" sqref="N18"/>
    </sheetView>
  </sheetViews>
  <sheetFormatPr defaultColWidth="8.75390625" defaultRowHeight="12.75"/>
  <cols>
    <col min="1" max="1" width="7.375" style="5" bestFit="1" customWidth="1"/>
    <col min="2" max="2" width="18.0039062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2.37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7.25390625" style="5" bestFit="1" customWidth="1"/>
    <col min="15" max="16384" width="8.75390625" style="3" customWidth="1"/>
  </cols>
  <sheetData>
    <row r="1" spans="1:14" s="2" customFormat="1" ht="28.5" customHeight="1">
      <c r="A1" s="86" t="s">
        <v>443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121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290</v>
      </c>
      <c r="C6" s="10" t="s">
        <v>291</v>
      </c>
      <c r="D6" s="10" t="s">
        <v>292</v>
      </c>
      <c r="E6" s="10" t="str">
        <f>"0,9173"</f>
        <v>0,9173</v>
      </c>
      <c r="F6" s="10" t="s">
        <v>23</v>
      </c>
      <c r="G6" s="10" t="s">
        <v>57</v>
      </c>
      <c r="H6" s="13" t="s">
        <v>128</v>
      </c>
      <c r="I6" s="11" t="s">
        <v>128</v>
      </c>
      <c r="J6" s="13" t="s">
        <v>134</v>
      </c>
      <c r="K6" s="12"/>
      <c r="L6" s="12" t="str">
        <f>"80,0"</f>
        <v>80,0</v>
      </c>
      <c r="M6" s="12" t="str">
        <f>"73,3880"</f>
        <v>73,3880</v>
      </c>
      <c r="N6" s="10" t="s">
        <v>120</v>
      </c>
    </row>
    <row r="7" ht="12.75">
      <c r="B7" s="5" t="s">
        <v>12</v>
      </c>
    </row>
    <row r="8" spans="1:13" ht="15">
      <c r="A8" s="84" t="s">
        <v>130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12" t="s">
        <v>43</v>
      </c>
      <c r="B9" s="10" t="s">
        <v>302</v>
      </c>
      <c r="C9" s="10" t="s">
        <v>303</v>
      </c>
      <c r="D9" s="10" t="s">
        <v>133</v>
      </c>
      <c r="E9" s="10" t="str">
        <f>"0,8609"</f>
        <v>0,8609</v>
      </c>
      <c r="F9" s="10" t="s">
        <v>23</v>
      </c>
      <c r="G9" s="10" t="s">
        <v>304</v>
      </c>
      <c r="H9" s="11" t="s">
        <v>139</v>
      </c>
      <c r="I9" s="11" t="s">
        <v>161</v>
      </c>
      <c r="J9" s="13" t="s">
        <v>145</v>
      </c>
      <c r="K9" s="12"/>
      <c r="L9" s="12" t="str">
        <f>"110,0"</f>
        <v>110,0</v>
      </c>
      <c r="M9" s="12" t="str">
        <f>"94,6990"</f>
        <v>94,6990</v>
      </c>
      <c r="N9" s="10" t="s">
        <v>582</v>
      </c>
    </row>
    <row r="10" ht="12.75">
      <c r="B10" s="5" t="s">
        <v>12</v>
      </c>
    </row>
    <row r="11" spans="1:13" ht="15">
      <c r="A11" s="84" t="s">
        <v>150</v>
      </c>
      <c r="B11" s="8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12.75">
      <c r="A12" s="12" t="s">
        <v>43</v>
      </c>
      <c r="B12" s="10" t="s">
        <v>444</v>
      </c>
      <c r="C12" s="10" t="s">
        <v>445</v>
      </c>
      <c r="D12" s="10" t="s">
        <v>174</v>
      </c>
      <c r="E12" s="10" t="str">
        <f>"0,6745"</f>
        <v>0,6745</v>
      </c>
      <c r="F12" s="10" t="s">
        <v>23</v>
      </c>
      <c r="G12" s="10" t="s">
        <v>240</v>
      </c>
      <c r="H12" s="11" t="s">
        <v>212</v>
      </c>
      <c r="I12" s="11" t="s">
        <v>157</v>
      </c>
      <c r="J12" s="11" t="s">
        <v>32</v>
      </c>
      <c r="K12" s="12"/>
      <c r="L12" s="12" t="str">
        <f>"185,0"</f>
        <v>185,0</v>
      </c>
      <c r="M12" s="12" t="str">
        <f>"128,6508"</f>
        <v>128,6508</v>
      </c>
      <c r="N12" s="10" t="s">
        <v>582</v>
      </c>
    </row>
    <row r="13" ht="12.75">
      <c r="B13" s="5" t="s">
        <v>12</v>
      </c>
    </row>
    <row r="14" spans="1:13" ht="15">
      <c r="A14" s="84" t="s">
        <v>47</v>
      </c>
      <c r="B14" s="8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4" ht="12.75">
      <c r="A15" s="10" t="s">
        <v>83</v>
      </c>
      <c r="B15" s="10" t="s">
        <v>237</v>
      </c>
      <c r="C15" s="17" t="s">
        <v>238</v>
      </c>
      <c r="D15" s="17" t="s">
        <v>239</v>
      </c>
      <c r="E15" s="17" t="str">
        <f>"0,5873"</f>
        <v>0,5873</v>
      </c>
      <c r="F15" s="17" t="s">
        <v>23</v>
      </c>
      <c r="G15" s="17" t="s">
        <v>240</v>
      </c>
      <c r="H15" s="13" t="s">
        <v>101</v>
      </c>
      <c r="I15" s="13" t="s">
        <v>101</v>
      </c>
      <c r="J15" s="13" t="s">
        <v>101</v>
      </c>
      <c r="K15" s="12"/>
      <c r="L15" s="12" t="str">
        <f>"0.00"</f>
        <v>0.00</v>
      </c>
      <c r="M15" s="12" t="str">
        <f>"0,0000"</f>
        <v>0,0000</v>
      </c>
      <c r="N15" s="10" t="s">
        <v>582</v>
      </c>
    </row>
    <row r="16" ht="12.75">
      <c r="B16" s="5" t="s">
        <v>12</v>
      </c>
    </row>
    <row r="17" spans="2:6" ht="15">
      <c r="B17" s="5" t="s">
        <v>12</v>
      </c>
      <c r="F17" s="7"/>
    </row>
    <row r="18" spans="2:6" ht="15">
      <c r="B18" s="5" t="s">
        <v>12</v>
      </c>
      <c r="F18" s="7"/>
    </row>
    <row r="19" spans="2:6" ht="15">
      <c r="B19" s="5" t="s">
        <v>12</v>
      </c>
      <c r="F19" s="7"/>
    </row>
    <row r="20" spans="2:6" ht="15">
      <c r="B20" s="5" t="s">
        <v>12</v>
      </c>
      <c r="F20" s="7"/>
    </row>
    <row r="21" spans="2:6" ht="15">
      <c r="B21" s="5" t="s">
        <v>12</v>
      </c>
      <c r="F21" s="7"/>
    </row>
    <row r="22" spans="2:6" ht="15">
      <c r="B22" s="5" t="s">
        <v>12</v>
      </c>
      <c r="F22" s="7"/>
    </row>
    <row r="23" spans="2:6" ht="15">
      <c r="B23" s="5" t="s">
        <v>12</v>
      </c>
      <c r="F23" s="7"/>
    </row>
    <row r="24" ht="12.75">
      <c r="B24" s="5" t="s">
        <v>12</v>
      </c>
    </row>
    <row r="25" spans="2:4" ht="18">
      <c r="B25" s="5" t="s">
        <v>12</v>
      </c>
      <c r="C25" s="8"/>
      <c r="D25" s="8"/>
    </row>
    <row r="26" spans="2:4" ht="15">
      <c r="B26" s="5" t="s">
        <v>12</v>
      </c>
      <c r="C26" s="14"/>
      <c r="D26" s="14"/>
    </row>
    <row r="27" spans="2:4" ht="14.25">
      <c r="B27" s="5" t="s">
        <v>12</v>
      </c>
      <c r="C27" s="15"/>
      <c r="D27" s="15"/>
    </row>
    <row r="28" spans="2:7" ht="15">
      <c r="B28" s="5" t="s">
        <v>12</v>
      </c>
      <c r="C28" s="1"/>
      <c r="D28" s="1"/>
      <c r="E28" s="1"/>
      <c r="F28" s="1"/>
      <c r="G28" s="1"/>
    </row>
    <row r="29" spans="2:7" ht="12.75">
      <c r="B29" s="5" t="s">
        <v>12</v>
      </c>
      <c r="E29" s="6"/>
      <c r="F29" s="6"/>
      <c r="G29" s="6"/>
    </row>
    <row r="30" spans="2:7" ht="12.75">
      <c r="B30" s="5" t="s">
        <v>12</v>
      </c>
      <c r="E30" s="6"/>
      <c r="F30" s="6"/>
      <c r="G30" s="6"/>
    </row>
    <row r="31" ht="12.75">
      <c r="B31" s="5" t="s">
        <v>12</v>
      </c>
    </row>
    <row r="32" ht="12.75">
      <c r="B32" s="5" t="s">
        <v>12</v>
      </c>
    </row>
    <row r="33" spans="2:4" ht="15">
      <c r="B33" s="5" t="s">
        <v>12</v>
      </c>
      <c r="C33" s="14"/>
      <c r="D33" s="14"/>
    </row>
    <row r="34" spans="2:4" ht="14.25">
      <c r="B34" s="5" t="s">
        <v>12</v>
      </c>
      <c r="C34" s="15"/>
      <c r="D34" s="15"/>
    </row>
    <row r="35" spans="2:7" ht="15">
      <c r="B35" s="5" t="s">
        <v>12</v>
      </c>
      <c r="C35" s="1"/>
      <c r="D35" s="1"/>
      <c r="E35" s="1"/>
      <c r="F35" s="1"/>
      <c r="G35" s="1"/>
    </row>
    <row r="36" spans="2:7" ht="12.75">
      <c r="B36" s="5" t="s">
        <v>12</v>
      </c>
      <c r="E36" s="6"/>
      <c r="F36" s="6"/>
      <c r="G36" s="6"/>
    </row>
    <row r="37" ht="12.75">
      <c r="B37" s="5" t="s">
        <v>12</v>
      </c>
    </row>
  </sheetData>
  <sheetProtection/>
  <mergeCells count="16">
    <mergeCell ref="A1:N2"/>
    <mergeCell ref="A3:A4"/>
    <mergeCell ref="C3:C4"/>
    <mergeCell ref="D3:D4"/>
    <mergeCell ref="E3:E4"/>
    <mergeCell ref="F3:F4"/>
    <mergeCell ref="G3:G4"/>
    <mergeCell ref="H3:K3"/>
    <mergeCell ref="A14:M14"/>
    <mergeCell ref="B3:B4"/>
    <mergeCell ref="L3:L4"/>
    <mergeCell ref="M3:M4"/>
    <mergeCell ref="N3:N4"/>
    <mergeCell ref="A5:M5"/>
    <mergeCell ref="A8:M8"/>
    <mergeCell ref="A11:M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C16">
      <selection activeCell="K34" sqref="K34"/>
    </sheetView>
  </sheetViews>
  <sheetFormatPr defaultColWidth="8.75390625" defaultRowHeight="12.75"/>
  <cols>
    <col min="1" max="1" width="7.375" style="5" bestFit="1" customWidth="1"/>
    <col min="2" max="2" width="19.00390625" style="5" bestFit="1" customWidth="1"/>
    <col min="3" max="3" width="29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40.1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6.625" style="5" bestFit="1" customWidth="1"/>
    <col min="15" max="16384" width="8.75390625" style="3" customWidth="1"/>
  </cols>
  <sheetData>
    <row r="1" spans="1:14" s="2" customFormat="1" ht="28.5" customHeight="1">
      <c r="A1" s="86" t="s">
        <v>410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279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7" t="s">
        <v>83</v>
      </c>
      <c r="B6" s="17" t="s">
        <v>280</v>
      </c>
      <c r="C6" s="17" t="s">
        <v>281</v>
      </c>
      <c r="D6" s="17" t="s">
        <v>282</v>
      </c>
      <c r="E6" s="17" t="str">
        <f>"1,0361"</f>
        <v>1,0361</v>
      </c>
      <c r="F6" s="17" t="s">
        <v>23</v>
      </c>
      <c r="G6" s="17" t="s">
        <v>57</v>
      </c>
      <c r="H6" s="20" t="s">
        <v>283</v>
      </c>
      <c r="I6" s="20" t="s">
        <v>283</v>
      </c>
      <c r="J6" s="20" t="s">
        <v>283</v>
      </c>
      <c r="K6" s="19"/>
      <c r="L6" s="19" t="str">
        <f>"0.00"</f>
        <v>0.00</v>
      </c>
      <c r="M6" s="19" t="str">
        <f>"0,0000"</f>
        <v>0,0000</v>
      </c>
      <c r="N6" s="17" t="s">
        <v>582</v>
      </c>
    </row>
    <row r="7" spans="1:14" ht="12.75">
      <c r="A7" s="21" t="s">
        <v>83</v>
      </c>
      <c r="B7" s="21" t="s">
        <v>288</v>
      </c>
      <c r="C7" s="21" t="s">
        <v>289</v>
      </c>
      <c r="D7" s="21" t="s">
        <v>282</v>
      </c>
      <c r="E7" s="21" t="str">
        <f>"1,0361"</f>
        <v>1,0361</v>
      </c>
      <c r="F7" s="21" t="s">
        <v>23</v>
      </c>
      <c r="G7" s="21" t="s">
        <v>57</v>
      </c>
      <c r="H7" s="23" t="s">
        <v>283</v>
      </c>
      <c r="I7" s="23" t="s">
        <v>283</v>
      </c>
      <c r="J7" s="23" t="s">
        <v>283</v>
      </c>
      <c r="K7" s="24"/>
      <c r="L7" s="24" t="str">
        <f>"0.00"</f>
        <v>0.00</v>
      </c>
      <c r="M7" s="24" t="str">
        <f>"0,0000"</f>
        <v>0,0000</v>
      </c>
      <c r="N7" s="21" t="s">
        <v>582</v>
      </c>
    </row>
    <row r="8" ht="12.75">
      <c r="B8" s="5" t="s">
        <v>12</v>
      </c>
    </row>
    <row r="9" spans="1:13" ht="15">
      <c r="A9" s="84" t="s">
        <v>121</v>
      </c>
      <c r="B9" s="8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4" ht="12.75">
      <c r="A10" s="12" t="s">
        <v>43</v>
      </c>
      <c r="B10" s="10" t="s">
        <v>411</v>
      </c>
      <c r="C10" s="10" t="s">
        <v>412</v>
      </c>
      <c r="D10" s="10" t="s">
        <v>413</v>
      </c>
      <c r="E10" s="10" t="str">
        <f>"0,9187"</f>
        <v>0,9187</v>
      </c>
      <c r="F10" s="10" t="s">
        <v>23</v>
      </c>
      <c r="G10" s="10" t="s">
        <v>125</v>
      </c>
      <c r="H10" s="11" t="s">
        <v>138</v>
      </c>
      <c r="I10" s="11" t="s">
        <v>414</v>
      </c>
      <c r="J10" s="13" t="s">
        <v>161</v>
      </c>
      <c r="K10" s="12"/>
      <c r="L10" s="12" t="str">
        <f>"102,5"</f>
        <v>102,5</v>
      </c>
      <c r="M10" s="12" t="str">
        <f>"94,1667"</f>
        <v>94,1667</v>
      </c>
      <c r="N10" s="10" t="s">
        <v>582</v>
      </c>
    </row>
    <row r="11" ht="12.75">
      <c r="B11" s="5" t="s">
        <v>12</v>
      </c>
    </row>
    <row r="12" spans="1:13" ht="15">
      <c r="A12" s="84" t="s">
        <v>44</v>
      </c>
      <c r="B12" s="8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4" ht="12.75">
      <c r="A13" s="12" t="s">
        <v>43</v>
      </c>
      <c r="B13" s="10" t="s">
        <v>415</v>
      </c>
      <c r="C13" s="10" t="s">
        <v>416</v>
      </c>
      <c r="D13" s="10" t="s">
        <v>337</v>
      </c>
      <c r="E13" s="10" t="str">
        <f>"0,6290"</f>
        <v>0,6290</v>
      </c>
      <c r="F13" s="10" t="s">
        <v>23</v>
      </c>
      <c r="G13" s="10" t="s">
        <v>57</v>
      </c>
      <c r="H13" s="11" t="s">
        <v>358</v>
      </c>
      <c r="I13" s="13" t="s">
        <v>93</v>
      </c>
      <c r="J13" s="13" t="s">
        <v>93</v>
      </c>
      <c r="K13" s="12"/>
      <c r="L13" s="12" t="str">
        <f>"172,5"</f>
        <v>172,5</v>
      </c>
      <c r="M13" s="12" t="str">
        <f>"108,5025"</f>
        <v>108,5025</v>
      </c>
      <c r="N13" s="10" t="s">
        <v>582</v>
      </c>
    </row>
    <row r="14" ht="12.75">
      <c r="B14" s="5" t="s">
        <v>12</v>
      </c>
    </row>
    <row r="15" spans="1:13" ht="15">
      <c r="A15" s="84" t="s">
        <v>47</v>
      </c>
      <c r="B15" s="8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4" ht="12.75">
      <c r="A16" s="19" t="s">
        <v>43</v>
      </c>
      <c r="B16" s="17" t="s">
        <v>417</v>
      </c>
      <c r="C16" s="17" t="s">
        <v>418</v>
      </c>
      <c r="D16" s="17" t="s">
        <v>373</v>
      </c>
      <c r="E16" s="17" t="str">
        <f>"0,5969"</f>
        <v>0,5969</v>
      </c>
      <c r="F16" s="17" t="s">
        <v>23</v>
      </c>
      <c r="G16" s="17" t="s">
        <v>221</v>
      </c>
      <c r="H16" s="18" t="s">
        <v>165</v>
      </c>
      <c r="I16" s="18" t="s">
        <v>185</v>
      </c>
      <c r="J16" s="18" t="s">
        <v>341</v>
      </c>
      <c r="K16" s="19"/>
      <c r="L16" s="19" t="str">
        <f>"147,5"</f>
        <v>147,5</v>
      </c>
      <c r="M16" s="19" t="str">
        <f>"88,0427"</f>
        <v>88,0427</v>
      </c>
      <c r="N16" s="17" t="s">
        <v>582</v>
      </c>
    </row>
    <row r="17" spans="1:14" ht="12.75">
      <c r="A17" s="24" t="s">
        <v>43</v>
      </c>
      <c r="B17" s="21" t="s">
        <v>419</v>
      </c>
      <c r="C17" s="21" t="s">
        <v>420</v>
      </c>
      <c r="D17" s="21" t="s">
        <v>51</v>
      </c>
      <c r="E17" s="21" t="str">
        <f>"0,5853"</f>
        <v>0,5853</v>
      </c>
      <c r="F17" s="21" t="s">
        <v>23</v>
      </c>
      <c r="G17" s="21" t="s">
        <v>221</v>
      </c>
      <c r="H17" s="22" t="s">
        <v>212</v>
      </c>
      <c r="I17" s="22" t="s">
        <v>421</v>
      </c>
      <c r="J17" s="22" t="s">
        <v>31</v>
      </c>
      <c r="K17" s="24"/>
      <c r="L17" s="24" t="str">
        <f>"170,0"</f>
        <v>170,0</v>
      </c>
      <c r="M17" s="24" t="str">
        <f>"99,7995"</f>
        <v>99,7995</v>
      </c>
      <c r="N17" s="21" t="s">
        <v>582</v>
      </c>
    </row>
    <row r="18" ht="12.75">
      <c r="B18" s="5" t="s">
        <v>12</v>
      </c>
    </row>
    <row r="19" spans="1:13" ht="15">
      <c r="A19" s="84" t="s">
        <v>56</v>
      </c>
      <c r="B19" s="8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4" ht="12.75">
      <c r="A20" s="19" t="s">
        <v>43</v>
      </c>
      <c r="B20" s="17" t="s">
        <v>422</v>
      </c>
      <c r="C20" s="17" t="s">
        <v>423</v>
      </c>
      <c r="D20" s="17" t="s">
        <v>424</v>
      </c>
      <c r="E20" s="17" t="str">
        <f>"0,5556"</f>
        <v>0,5556</v>
      </c>
      <c r="F20" s="17" t="s">
        <v>23</v>
      </c>
      <c r="G20" s="17" t="s">
        <v>170</v>
      </c>
      <c r="H20" s="18" t="s">
        <v>26</v>
      </c>
      <c r="I20" s="18" t="s">
        <v>59</v>
      </c>
      <c r="J20" s="18" t="s">
        <v>60</v>
      </c>
      <c r="K20" s="19"/>
      <c r="L20" s="19" t="str">
        <f>"197,5"</f>
        <v>197,5</v>
      </c>
      <c r="M20" s="19" t="str">
        <f>"109,7409"</f>
        <v>109,7409</v>
      </c>
      <c r="N20" s="17" t="s">
        <v>425</v>
      </c>
    </row>
    <row r="21" spans="1:14" ht="12.75">
      <c r="A21" s="28" t="s">
        <v>84</v>
      </c>
      <c r="B21" s="25" t="s">
        <v>426</v>
      </c>
      <c r="C21" s="25" t="s">
        <v>427</v>
      </c>
      <c r="D21" s="25" t="s">
        <v>428</v>
      </c>
      <c r="E21" s="25" t="str">
        <f>"0,5553"</f>
        <v>0,5553</v>
      </c>
      <c r="F21" s="25" t="s">
        <v>23</v>
      </c>
      <c r="G21" s="25" t="s">
        <v>57</v>
      </c>
      <c r="H21" s="27" t="s">
        <v>25</v>
      </c>
      <c r="I21" s="27" t="s">
        <v>26</v>
      </c>
      <c r="J21" s="26" t="s">
        <v>32</v>
      </c>
      <c r="K21" s="28"/>
      <c r="L21" s="28" t="str">
        <f>"180,0"</f>
        <v>180,0</v>
      </c>
      <c r="M21" s="28" t="str">
        <f>"99,9540"</f>
        <v>99,9540</v>
      </c>
      <c r="N21" s="25" t="s">
        <v>582</v>
      </c>
    </row>
    <row r="22" spans="1:14" ht="12.75">
      <c r="A22" s="24" t="s">
        <v>407</v>
      </c>
      <c r="B22" s="21" t="s">
        <v>229</v>
      </c>
      <c r="C22" s="21" t="s">
        <v>230</v>
      </c>
      <c r="D22" s="21" t="s">
        <v>231</v>
      </c>
      <c r="E22" s="21" t="str">
        <f>"0,5591"</f>
        <v>0,5591</v>
      </c>
      <c r="F22" s="21" t="s">
        <v>23</v>
      </c>
      <c r="G22" s="21" t="s">
        <v>75</v>
      </c>
      <c r="H22" s="22" t="s">
        <v>102</v>
      </c>
      <c r="I22" s="22" t="s">
        <v>232</v>
      </c>
      <c r="J22" s="22" t="s">
        <v>157</v>
      </c>
      <c r="K22" s="24"/>
      <c r="L22" s="24" t="str">
        <f>"165,0"</f>
        <v>165,0</v>
      </c>
      <c r="M22" s="24" t="str">
        <f>"92,2515"</f>
        <v>92,2515</v>
      </c>
      <c r="N22" s="21" t="s">
        <v>233</v>
      </c>
    </row>
    <row r="23" ht="12.75">
      <c r="B23" s="5" t="s">
        <v>12</v>
      </c>
    </row>
    <row r="24" spans="1:13" ht="15">
      <c r="A24" s="84" t="s">
        <v>257</v>
      </c>
      <c r="B24" s="84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4" ht="12.75">
      <c r="A25" s="19" t="s">
        <v>43</v>
      </c>
      <c r="B25" s="17" t="s">
        <v>429</v>
      </c>
      <c r="C25" s="17" t="s">
        <v>430</v>
      </c>
      <c r="D25" s="17" t="s">
        <v>431</v>
      </c>
      <c r="E25" s="17" t="str">
        <f>"0,5401"</f>
        <v>0,5401</v>
      </c>
      <c r="F25" s="17" t="s">
        <v>23</v>
      </c>
      <c r="G25" s="17" t="s">
        <v>57</v>
      </c>
      <c r="H25" s="20" t="s">
        <v>33</v>
      </c>
      <c r="I25" s="18" t="s">
        <v>33</v>
      </c>
      <c r="J25" s="20" t="s">
        <v>69</v>
      </c>
      <c r="K25" s="19"/>
      <c r="L25" s="19" t="str">
        <f>"200,0"</f>
        <v>200,0</v>
      </c>
      <c r="M25" s="19" t="str">
        <f>"108,0200"</f>
        <v>108,0200</v>
      </c>
      <c r="N25" s="17" t="s">
        <v>582</v>
      </c>
    </row>
    <row r="26" spans="1:14" ht="12.75">
      <c r="A26" s="28" t="s">
        <v>84</v>
      </c>
      <c r="B26" s="25" t="s">
        <v>432</v>
      </c>
      <c r="C26" s="25" t="s">
        <v>433</v>
      </c>
      <c r="D26" s="25" t="s">
        <v>260</v>
      </c>
      <c r="E26" s="25" t="str">
        <f>"0,5377"</f>
        <v>0,5377</v>
      </c>
      <c r="F26" s="25" t="s">
        <v>23</v>
      </c>
      <c r="G26" s="25" t="s">
        <v>434</v>
      </c>
      <c r="H26" s="27" t="s">
        <v>32</v>
      </c>
      <c r="I26" s="27" t="s">
        <v>77</v>
      </c>
      <c r="J26" s="26" t="s">
        <v>27</v>
      </c>
      <c r="K26" s="28"/>
      <c r="L26" s="28" t="str">
        <f>"195,0"</f>
        <v>195,0</v>
      </c>
      <c r="M26" s="28" t="str">
        <f>"104,8515"</f>
        <v>104,8515</v>
      </c>
      <c r="N26" s="25" t="s">
        <v>582</v>
      </c>
    </row>
    <row r="27" spans="1:14" ht="12.75">
      <c r="A27" s="24" t="s">
        <v>407</v>
      </c>
      <c r="B27" s="21" t="s">
        <v>435</v>
      </c>
      <c r="C27" s="21" t="s">
        <v>376</v>
      </c>
      <c r="D27" s="21" t="s">
        <v>436</v>
      </c>
      <c r="E27" s="21" t="str">
        <f>"0,5381"</f>
        <v>0,5381</v>
      </c>
      <c r="F27" s="21" t="s">
        <v>23</v>
      </c>
      <c r="G27" s="21" t="s">
        <v>57</v>
      </c>
      <c r="H27" s="22" t="s">
        <v>26</v>
      </c>
      <c r="I27" s="22" t="s">
        <v>59</v>
      </c>
      <c r="J27" s="23" t="s">
        <v>77</v>
      </c>
      <c r="K27" s="24"/>
      <c r="L27" s="24" t="str">
        <f>"190,0"</f>
        <v>190,0</v>
      </c>
      <c r="M27" s="24" t="str">
        <f>"102,2390"</f>
        <v>102,2390</v>
      </c>
      <c r="N27" s="21" t="s">
        <v>582</v>
      </c>
    </row>
    <row r="28" spans="1:2" ht="12.75">
      <c r="A28" s="6"/>
      <c r="B28" s="5" t="s">
        <v>12</v>
      </c>
    </row>
    <row r="29" spans="1:13" ht="15">
      <c r="A29" s="84" t="s">
        <v>62</v>
      </c>
      <c r="B29" s="84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4" ht="12.75">
      <c r="A30" s="19" t="s">
        <v>43</v>
      </c>
      <c r="B30" s="17" t="s">
        <v>105</v>
      </c>
      <c r="C30" s="17" t="s">
        <v>106</v>
      </c>
      <c r="D30" s="17" t="s">
        <v>107</v>
      </c>
      <c r="E30" s="17" t="str">
        <f>"0,5292"</f>
        <v>0,5292</v>
      </c>
      <c r="F30" s="17" t="s">
        <v>23</v>
      </c>
      <c r="G30" s="17" t="s">
        <v>52</v>
      </c>
      <c r="H30" s="18" t="s">
        <v>64</v>
      </c>
      <c r="I30" s="18" t="s">
        <v>109</v>
      </c>
      <c r="J30" s="18" t="s">
        <v>66</v>
      </c>
      <c r="K30" s="19"/>
      <c r="L30" s="19" t="str">
        <f>"240,0"</f>
        <v>240,0</v>
      </c>
      <c r="M30" s="19" t="str">
        <f>"127,0080"</f>
        <v>127,0080</v>
      </c>
      <c r="N30" s="17" t="s">
        <v>582</v>
      </c>
    </row>
    <row r="31" spans="1:14" ht="12.75">
      <c r="A31" s="24" t="s">
        <v>43</v>
      </c>
      <c r="B31" s="21" t="s">
        <v>437</v>
      </c>
      <c r="C31" s="21" t="s">
        <v>438</v>
      </c>
      <c r="D31" s="21" t="s">
        <v>439</v>
      </c>
      <c r="E31" s="21" t="str">
        <f>"0,5354"</f>
        <v>0,5354</v>
      </c>
      <c r="F31" s="21" t="s">
        <v>23</v>
      </c>
      <c r="G31" s="21" t="s">
        <v>57</v>
      </c>
      <c r="H31" s="22" t="s">
        <v>102</v>
      </c>
      <c r="I31" s="22" t="s">
        <v>212</v>
      </c>
      <c r="J31" s="23" t="s">
        <v>72</v>
      </c>
      <c r="K31" s="24"/>
      <c r="L31" s="24" t="str">
        <f>"155,0"</f>
        <v>155,0</v>
      </c>
      <c r="M31" s="24" t="str">
        <f>"83,7339"</f>
        <v>83,7339</v>
      </c>
      <c r="N31" s="21" t="s">
        <v>582</v>
      </c>
    </row>
    <row r="32" ht="12.75">
      <c r="B32" s="5" t="s">
        <v>12</v>
      </c>
    </row>
    <row r="33" spans="2:6" ht="15">
      <c r="B33" s="5" t="s">
        <v>12</v>
      </c>
      <c r="F33" s="7"/>
    </row>
    <row r="34" spans="2:6" ht="15">
      <c r="B34" s="5" t="s">
        <v>12</v>
      </c>
      <c r="F34" s="7"/>
    </row>
    <row r="35" spans="2:6" ht="15">
      <c r="B35" s="5" t="s">
        <v>12</v>
      </c>
      <c r="F35" s="7"/>
    </row>
    <row r="36" spans="2:6" ht="15">
      <c r="B36" s="5" t="s">
        <v>12</v>
      </c>
      <c r="F36" s="7"/>
    </row>
    <row r="37" spans="2:6" ht="15">
      <c r="B37" s="5" t="s">
        <v>12</v>
      </c>
      <c r="F37" s="7"/>
    </row>
    <row r="38" spans="2:6" ht="15">
      <c r="B38" s="5" t="s">
        <v>12</v>
      </c>
      <c r="F38" s="7"/>
    </row>
    <row r="39" spans="2:6" ht="15">
      <c r="B39" s="5" t="s">
        <v>12</v>
      </c>
      <c r="F39" s="7"/>
    </row>
    <row r="40" ht="12.75">
      <c r="B40" s="5" t="s">
        <v>12</v>
      </c>
    </row>
    <row r="41" spans="2:4" ht="18">
      <c r="B41" s="5" t="s">
        <v>12</v>
      </c>
      <c r="C41" s="8" t="s">
        <v>11</v>
      </c>
      <c r="D41" s="8"/>
    </row>
    <row r="42" spans="2:4" ht="15">
      <c r="B42" s="5" t="s">
        <v>12</v>
      </c>
      <c r="C42" s="14"/>
      <c r="D42" s="14"/>
    </row>
    <row r="43" spans="2:4" ht="15">
      <c r="B43" s="5" t="s">
        <v>12</v>
      </c>
      <c r="C43" s="14" t="s">
        <v>35</v>
      </c>
      <c r="D43" s="14"/>
    </row>
    <row r="44" spans="2:4" ht="14.25">
      <c r="B44" s="5" t="s">
        <v>12</v>
      </c>
      <c r="C44" s="15"/>
      <c r="D44" s="15" t="s">
        <v>36</v>
      </c>
    </row>
    <row r="45" spans="2:7" ht="15">
      <c r="B45" s="5" t="s">
        <v>12</v>
      </c>
      <c r="C45" s="9" t="s">
        <v>37</v>
      </c>
      <c r="D45" s="9" t="s">
        <v>38</v>
      </c>
      <c r="E45" s="9" t="s">
        <v>39</v>
      </c>
      <c r="F45" s="9" t="s">
        <v>40</v>
      </c>
      <c r="G45" s="9" t="s">
        <v>41</v>
      </c>
    </row>
    <row r="46" spans="2:7" ht="12.75">
      <c r="B46" s="5" t="s">
        <v>12</v>
      </c>
      <c r="C46" s="5" t="s">
        <v>105</v>
      </c>
      <c r="D46" s="5" t="s">
        <v>36</v>
      </c>
      <c r="E46" s="6" t="s">
        <v>114</v>
      </c>
      <c r="F46" s="6" t="s">
        <v>66</v>
      </c>
      <c r="G46" s="6" t="s">
        <v>440</v>
      </c>
    </row>
    <row r="47" spans="2:7" ht="12.75">
      <c r="B47" s="5" t="s">
        <v>12</v>
      </c>
      <c r="C47" s="5" t="s">
        <v>422</v>
      </c>
      <c r="D47" s="5" t="s">
        <v>36</v>
      </c>
      <c r="E47" s="6" t="s">
        <v>80</v>
      </c>
      <c r="F47" s="6" t="s">
        <v>60</v>
      </c>
      <c r="G47" s="6" t="s">
        <v>441</v>
      </c>
    </row>
    <row r="48" spans="2:7" ht="12.75">
      <c r="B48" s="5" t="s">
        <v>12</v>
      </c>
      <c r="C48" s="5" t="s">
        <v>415</v>
      </c>
      <c r="D48" s="5" t="s">
        <v>36</v>
      </c>
      <c r="E48" s="6" t="s">
        <v>81</v>
      </c>
      <c r="F48" s="6" t="s">
        <v>358</v>
      </c>
      <c r="G48" s="6" t="s">
        <v>442</v>
      </c>
    </row>
    <row r="49" spans="2:4" ht="14.25">
      <c r="B49" s="5" t="s">
        <v>12</v>
      </c>
      <c r="C49" s="15"/>
      <c r="D49" s="15"/>
    </row>
    <row r="50" spans="2:7" ht="15">
      <c r="B50" s="5" t="s">
        <v>12</v>
      </c>
      <c r="C50" s="1"/>
      <c r="D50" s="1"/>
      <c r="E50" s="1"/>
      <c r="F50" s="1"/>
      <c r="G50" s="1"/>
    </row>
    <row r="51" spans="2:7" ht="12.75">
      <c r="B51" s="5" t="s">
        <v>12</v>
      </c>
      <c r="E51" s="6"/>
      <c r="F51" s="6"/>
      <c r="G51" s="6"/>
    </row>
    <row r="52" spans="2:7" ht="12.75">
      <c r="B52" s="5" t="s">
        <v>12</v>
      </c>
      <c r="E52" s="6"/>
      <c r="F52" s="6"/>
      <c r="G52" s="6"/>
    </row>
    <row r="53" spans="2:7" ht="12.75">
      <c r="B53" s="5" t="s">
        <v>12</v>
      </c>
      <c r="E53" s="6"/>
      <c r="F53" s="6"/>
      <c r="G53" s="6"/>
    </row>
    <row r="54" ht="12.75">
      <c r="B54" s="5" t="s">
        <v>12</v>
      </c>
    </row>
    <row r="55" spans="2:4" ht="14.25">
      <c r="B55" s="5" t="s">
        <v>12</v>
      </c>
      <c r="C55" s="15"/>
      <c r="D55" s="15"/>
    </row>
    <row r="56" spans="2:7" ht="15">
      <c r="B56" s="5" t="s">
        <v>12</v>
      </c>
      <c r="C56" s="1"/>
      <c r="D56" s="1"/>
      <c r="E56" s="1"/>
      <c r="F56" s="1"/>
      <c r="G56" s="1"/>
    </row>
    <row r="57" spans="2:7" ht="12.75">
      <c r="B57" s="5" t="s">
        <v>12</v>
      </c>
      <c r="E57" s="6"/>
      <c r="F57" s="6"/>
      <c r="G57" s="6"/>
    </row>
    <row r="58" spans="2:7" ht="12.75">
      <c r="B58" s="5" t="s">
        <v>12</v>
      </c>
      <c r="E58" s="6"/>
      <c r="F58" s="6"/>
      <c r="G58" s="6"/>
    </row>
    <row r="59" ht="12.75">
      <c r="B59" s="5" t="s">
        <v>12</v>
      </c>
    </row>
  </sheetData>
  <sheetProtection/>
  <mergeCells count="19">
    <mergeCell ref="N3:N4"/>
    <mergeCell ref="A5:M5"/>
    <mergeCell ref="A9:M9"/>
    <mergeCell ref="A12:M12"/>
    <mergeCell ref="A1:N2"/>
    <mergeCell ref="A3:A4"/>
    <mergeCell ref="C3:C4"/>
    <mergeCell ref="D3:D4"/>
    <mergeCell ref="E3:E4"/>
    <mergeCell ref="F3:F4"/>
    <mergeCell ref="A15:M15"/>
    <mergeCell ref="A19:M19"/>
    <mergeCell ref="A24:M24"/>
    <mergeCell ref="A29:M29"/>
    <mergeCell ref="B3:B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C76">
      <selection activeCell="O56" sqref="O56"/>
    </sheetView>
  </sheetViews>
  <sheetFormatPr defaultColWidth="8.75390625" defaultRowHeight="12.75"/>
  <cols>
    <col min="1" max="1" width="7.375" style="5" bestFit="1" customWidth="1"/>
    <col min="2" max="2" width="22.375" style="5" bestFit="1" customWidth="1"/>
    <col min="3" max="3" width="29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8.25390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7.375" style="5" bestFit="1" customWidth="1"/>
    <col min="15" max="16384" width="8.75390625" style="3" customWidth="1"/>
  </cols>
  <sheetData>
    <row r="1" spans="1:14" s="2" customFormat="1" ht="28.5" customHeight="1">
      <c r="A1" s="86" t="s">
        <v>270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271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272</v>
      </c>
      <c r="C6" s="10" t="s">
        <v>273</v>
      </c>
      <c r="D6" s="10" t="s">
        <v>274</v>
      </c>
      <c r="E6" s="10" t="str">
        <f>"1,1375"</f>
        <v>1,1375</v>
      </c>
      <c r="F6" s="10" t="s">
        <v>23</v>
      </c>
      <c r="G6" s="10" t="s">
        <v>247</v>
      </c>
      <c r="H6" s="13" t="s">
        <v>275</v>
      </c>
      <c r="I6" s="11" t="s">
        <v>275</v>
      </c>
      <c r="J6" s="11" t="s">
        <v>276</v>
      </c>
      <c r="K6" s="13" t="s">
        <v>277</v>
      </c>
      <c r="L6" s="12" t="str">
        <f>"35,0"</f>
        <v>35,0</v>
      </c>
      <c r="M6" s="12" t="str">
        <f>"48,9715"</f>
        <v>48,9715</v>
      </c>
      <c r="N6" s="10" t="s">
        <v>278</v>
      </c>
    </row>
    <row r="7" ht="12.75">
      <c r="B7" s="5" t="s">
        <v>12</v>
      </c>
    </row>
    <row r="8" spans="1:13" ht="15">
      <c r="A8" s="84" t="s">
        <v>279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17" t="s">
        <v>83</v>
      </c>
      <c r="B9" s="17" t="s">
        <v>280</v>
      </c>
      <c r="C9" s="17" t="s">
        <v>281</v>
      </c>
      <c r="D9" s="17" t="s">
        <v>282</v>
      </c>
      <c r="E9" s="17" t="str">
        <f>"1,0361"</f>
        <v>1,0361</v>
      </c>
      <c r="F9" s="17" t="s">
        <v>23</v>
      </c>
      <c r="G9" s="17" t="s">
        <v>57</v>
      </c>
      <c r="H9" s="20" t="s">
        <v>283</v>
      </c>
      <c r="I9" s="19"/>
      <c r="J9" s="19"/>
      <c r="K9" s="19"/>
      <c r="L9" s="19" t="str">
        <f>"0.00"</f>
        <v>0.00</v>
      </c>
      <c r="M9" s="19" t="str">
        <f>"0,0000"</f>
        <v>0,0000</v>
      </c>
      <c r="N9" s="17" t="s">
        <v>34</v>
      </c>
    </row>
    <row r="10" spans="1:14" ht="12.75">
      <c r="A10" s="28" t="s">
        <v>43</v>
      </c>
      <c r="B10" s="25" t="s">
        <v>284</v>
      </c>
      <c r="C10" s="25" t="s">
        <v>285</v>
      </c>
      <c r="D10" s="25" t="s">
        <v>286</v>
      </c>
      <c r="E10" s="25" t="str">
        <f>"1,0648"</f>
        <v>1,0648</v>
      </c>
      <c r="F10" s="25" t="s">
        <v>23</v>
      </c>
      <c r="G10" s="25" t="s">
        <v>216</v>
      </c>
      <c r="H10" s="27" t="s">
        <v>287</v>
      </c>
      <c r="I10" s="27" t="s">
        <v>283</v>
      </c>
      <c r="J10" s="27" t="s">
        <v>137</v>
      </c>
      <c r="K10" s="28"/>
      <c r="L10" s="28" t="str">
        <f>"55,0"</f>
        <v>55,0</v>
      </c>
      <c r="M10" s="28" t="str">
        <f>"59,7353"</f>
        <v>59,7353</v>
      </c>
      <c r="N10" s="25" t="s">
        <v>34</v>
      </c>
    </row>
    <row r="11" spans="1:14" ht="12.75">
      <c r="A11" s="21" t="s">
        <v>83</v>
      </c>
      <c r="B11" s="21" t="s">
        <v>288</v>
      </c>
      <c r="C11" s="21" t="s">
        <v>289</v>
      </c>
      <c r="D11" s="21" t="s">
        <v>282</v>
      </c>
      <c r="E11" s="21" t="str">
        <f>"1,0361"</f>
        <v>1,0361</v>
      </c>
      <c r="F11" s="21" t="s">
        <v>23</v>
      </c>
      <c r="G11" s="21" t="s">
        <v>57</v>
      </c>
      <c r="H11" s="23" t="s">
        <v>283</v>
      </c>
      <c r="I11" s="23" t="s">
        <v>283</v>
      </c>
      <c r="J11" s="23" t="s">
        <v>283</v>
      </c>
      <c r="K11" s="24"/>
      <c r="L11" s="24" t="str">
        <f>"0.00"</f>
        <v>0.00</v>
      </c>
      <c r="M11" s="24" t="str">
        <f>"0,0000"</f>
        <v>0,0000</v>
      </c>
      <c r="N11" s="21" t="s">
        <v>34</v>
      </c>
    </row>
    <row r="12" ht="12.75">
      <c r="B12" s="5" t="s">
        <v>12</v>
      </c>
    </row>
    <row r="13" spans="1:13" ht="15">
      <c r="A13" s="84" t="s">
        <v>121</v>
      </c>
      <c r="B13" s="8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4" ht="12.75">
      <c r="A14" s="19" t="s">
        <v>43</v>
      </c>
      <c r="B14" s="17" t="s">
        <v>290</v>
      </c>
      <c r="C14" s="17" t="s">
        <v>291</v>
      </c>
      <c r="D14" s="17" t="s">
        <v>292</v>
      </c>
      <c r="E14" s="17" t="str">
        <f>"0,9173"</f>
        <v>0,9173</v>
      </c>
      <c r="F14" s="17" t="s">
        <v>23</v>
      </c>
      <c r="G14" s="17" t="s">
        <v>57</v>
      </c>
      <c r="H14" s="18" t="s">
        <v>293</v>
      </c>
      <c r="I14" s="20" t="s">
        <v>294</v>
      </c>
      <c r="J14" s="20" t="s">
        <v>294</v>
      </c>
      <c r="K14" s="19"/>
      <c r="L14" s="19" t="str">
        <f>"62,5"</f>
        <v>62,5</v>
      </c>
      <c r="M14" s="19" t="str">
        <f>"57,3344"</f>
        <v>57,3344</v>
      </c>
      <c r="N14" s="17" t="s">
        <v>120</v>
      </c>
    </row>
    <row r="15" spans="1:14" ht="12.75">
      <c r="A15" s="28" t="s">
        <v>84</v>
      </c>
      <c r="B15" s="25" t="s">
        <v>295</v>
      </c>
      <c r="C15" s="25" t="s">
        <v>296</v>
      </c>
      <c r="D15" s="25" t="s">
        <v>292</v>
      </c>
      <c r="E15" s="25" t="str">
        <f>"0,9173"</f>
        <v>0,9173</v>
      </c>
      <c r="F15" s="25" t="s">
        <v>23</v>
      </c>
      <c r="G15" s="25" t="s">
        <v>297</v>
      </c>
      <c r="H15" s="26" t="s">
        <v>129</v>
      </c>
      <c r="I15" s="27" t="s">
        <v>287</v>
      </c>
      <c r="J15" s="27" t="s">
        <v>136</v>
      </c>
      <c r="K15" s="28"/>
      <c r="L15" s="28" t="str">
        <f>"50,0"</f>
        <v>50,0</v>
      </c>
      <c r="M15" s="28" t="str">
        <f>"45,8675"</f>
        <v>45,8675</v>
      </c>
      <c r="N15" s="25" t="s">
        <v>34</v>
      </c>
    </row>
    <row r="16" spans="1:14" ht="12.75">
      <c r="A16" s="24" t="s">
        <v>43</v>
      </c>
      <c r="B16" s="21" t="s">
        <v>298</v>
      </c>
      <c r="C16" s="21" t="s">
        <v>299</v>
      </c>
      <c r="D16" s="21" t="s">
        <v>300</v>
      </c>
      <c r="E16" s="21" t="str">
        <f>"0,9133"</f>
        <v>0,9133</v>
      </c>
      <c r="F16" s="21" t="s">
        <v>23</v>
      </c>
      <c r="G16" s="21" t="s">
        <v>297</v>
      </c>
      <c r="H16" s="23" t="s">
        <v>301</v>
      </c>
      <c r="I16" s="22" t="s">
        <v>126</v>
      </c>
      <c r="J16" s="22" t="s">
        <v>294</v>
      </c>
      <c r="K16" s="24"/>
      <c r="L16" s="24" t="str">
        <f>"67,5"</f>
        <v>67,5</v>
      </c>
      <c r="M16" s="24" t="str">
        <f>"62,2026"</f>
        <v>62,2026</v>
      </c>
      <c r="N16" s="21" t="s">
        <v>34</v>
      </c>
    </row>
    <row r="17" ht="12.75">
      <c r="B17" s="5" t="s">
        <v>12</v>
      </c>
    </row>
    <row r="18" spans="1:13" ht="15">
      <c r="A18" s="84" t="s">
        <v>130</v>
      </c>
      <c r="B18" s="8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4" ht="12.75">
      <c r="A19" s="12" t="s">
        <v>43</v>
      </c>
      <c r="B19" s="10" t="s">
        <v>302</v>
      </c>
      <c r="C19" s="10" t="s">
        <v>303</v>
      </c>
      <c r="D19" s="10" t="s">
        <v>133</v>
      </c>
      <c r="E19" s="10" t="str">
        <f>"0,8609"</f>
        <v>0,8609</v>
      </c>
      <c r="F19" s="10" t="s">
        <v>23</v>
      </c>
      <c r="G19" s="10" t="s">
        <v>304</v>
      </c>
      <c r="H19" s="11" t="s">
        <v>305</v>
      </c>
      <c r="I19" s="11" t="s">
        <v>127</v>
      </c>
      <c r="J19" s="13" t="s">
        <v>128</v>
      </c>
      <c r="K19" s="12"/>
      <c r="L19" s="12" t="str">
        <f>"75,0"</f>
        <v>75,0</v>
      </c>
      <c r="M19" s="12" t="str">
        <f>"64,5675"</f>
        <v>64,5675</v>
      </c>
      <c r="N19" s="10" t="s">
        <v>34</v>
      </c>
    </row>
    <row r="20" ht="12.75">
      <c r="B20" s="5" t="s">
        <v>12</v>
      </c>
    </row>
    <row r="21" spans="1:13" ht="15">
      <c r="A21" s="84" t="s">
        <v>19</v>
      </c>
      <c r="B21" s="8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4" ht="12.75">
      <c r="A22" s="19" t="s">
        <v>43</v>
      </c>
      <c r="B22" s="17" t="s">
        <v>141</v>
      </c>
      <c r="C22" s="17" t="s">
        <v>142</v>
      </c>
      <c r="D22" s="17" t="s">
        <v>143</v>
      </c>
      <c r="E22" s="17" t="str">
        <f>"0,7788"</f>
        <v>0,7788</v>
      </c>
      <c r="F22" s="17" t="s">
        <v>23</v>
      </c>
      <c r="G22" s="17" t="s">
        <v>144</v>
      </c>
      <c r="H22" s="18" t="s">
        <v>127</v>
      </c>
      <c r="I22" s="18" t="s">
        <v>128</v>
      </c>
      <c r="J22" s="18" t="s">
        <v>28</v>
      </c>
      <c r="K22" s="19"/>
      <c r="L22" s="19" t="str">
        <f>"85,0"</f>
        <v>85,0</v>
      </c>
      <c r="M22" s="19" t="str">
        <f>"66,1938"</f>
        <v>66,1938</v>
      </c>
      <c r="N22" s="17" t="s">
        <v>149</v>
      </c>
    </row>
    <row r="23" spans="1:14" ht="12.75">
      <c r="A23" s="28" t="s">
        <v>84</v>
      </c>
      <c r="B23" s="25" t="s">
        <v>306</v>
      </c>
      <c r="C23" s="25" t="s">
        <v>307</v>
      </c>
      <c r="D23" s="25" t="s">
        <v>308</v>
      </c>
      <c r="E23" s="25" t="str">
        <f>"0,7872"</f>
        <v>0,7872</v>
      </c>
      <c r="F23" s="25" t="s">
        <v>23</v>
      </c>
      <c r="G23" s="25" t="s">
        <v>309</v>
      </c>
      <c r="H23" s="27" t="s">
        <v>305</v>
      </c>
      <c r="I23" s="27" t="s">
        <v>127</v>
      </c>
      <c r="J23" s="26" t="s">
        <v>128</v>
      </c>
      <c r="K23" s="28"/>
      <c r="L23" s="28" t="str">
        <f>"75,0"</f>
        <v>75,0</v>
      </c>
      <c r="M23" s="28" t="str">
        <f>"59,0400"</f>
        <v>59,0400</v>
      </c>
      <c r="N23" s="25" t="s">
        <v>34</v>
      </c>
    </row>
    <row r="24" spans="1:14" ht="12.75">
      <c r="A24" s="28" t="s">
        <v>407</v>
      </c>
      <c r="B24" s="25" t="s">
        <v>310</v>
      </c>
      <c r="C24" s="25" t="s">
        <v>311</v>
      </c>
      <c r="D24" s="25" t="s">
        <v>160</v>
      </c>
      <c r="E24" s="25" t="str">
        <f>"0,7974"</f>
        <v>0,7974</v>
      </c>
      <c r="F24" s="25" t="s">
        <v>23</v>
      </c>
      <c r="G24" s="25" t="s">
        <v>297</v>
      </c>
      <c r="H24" s="27" t="s">
        <v>294</v>
      </c>
      <c r="I24" s="27" t="s">
        <v>305</v>
      </c>
      <c r="J24" s="27" t="s">
        <v>155</v>
      </c>
      <c r="K24" s="28"/>
      <c r="L24" s="28" t="str">
        <f>"72,5"</f>
        <v>72,5</v>
      </c>
      <c r="M24" s="28" t="str">
        <f>"57,8115"</f>
        <v>57,8115</v>
      </c>
      <c r="N24" s="25" t="s">
        <v>34</v>
      </c>
    </row>
    <row r="25" spans="1:14" ht="12.75">
      <c r="A25" s="28" t="s">
        <v>408</v>
      </c>
      <c r="B25" s="25" t="s">
        <v>312</v>
      </c>
      <c r="C25" s="25" t="s">
        <v>313</v>
      </c>
      <c r="D25" s="25" t="s">
        <v>314</v>
      </c>
      <c r="E25" s="25" t="str">
        <f>"0,7995"</f>
        <v>0,7995</v>
      </c>
      <c r="F25" s="25" t="s">
        <v>23</v>
      </c>
      <c r="G25" s="25" t="s">
        <v>315</v>
      </c>
      <c r="H25" s="27" t="s">
        <v>293</v>
      </c>
      <c r="I25" s="27" t="s">
        <v>126</v>
      </c>
      <c r="J25" s="27" t="s">
        <v>305</v>
      </c>
      <c r="K25" s="28"/>
      <c r="L25" s="28" t="str">
        <f>"70,0"</f>
        <v>70,0</v>
      </c>
      <c r="M25" s="28" t="str">
        <f>"55,9650"</f>
        <v>55,9650</v>
      </c>
      <c r="N25" s="25" t="s">
        <v>34</v>
      </c>
    </row>
    <row r="26" spans="1:14" ht="12.75">
      <c r="A26" s="24" t="s">
        <v>409</v>
      </c>
      <c r="B26" s="21" t="s">
        <v>316</v>
      </c>
      <c r="C26" s="21" t="s">
        <v>317</v>
      </c>
      <c r="D26" s="21" t="s">
        <v>314</v>
      </c>
      <c r="E26" s="21" t="str">
        <f>"0,7995"</f>
        <v>0,7995</v>
      </c>
      <c r="F26" s="21" t="s">
        <v>23</v>
      </c>
      <c r="G26" s="21" t="s">
        <v>125</v>
      </c>
      <c r="H26" s="22" t="s">
        <v>301</v>
      </c>
      <c r="I26" s="22" t="s">
        <v>126</v>
      </c>
      <c r="J26" s="22" t="s">
        <v>305</v>
      </c>
      <c r="K26" s="24"/>
      <c r="L26" s="24" t="str">
        <f>"70,0"</f>
        <v>70,0</v>
      </c>
      <c r="M26" s="24" t="str">
        <f>"55,9650"</f>
        <v>55,9650</v>
      </c>
      <c r="N26" s="21" t="s">
        <v>34</v>
      </c>
    </row>
    <row r="27" ht="12.75">
      <c r="B27" s="5" t="s">
        <v>12</v>
      </c>
    </row>
    <row r="28" spans="1:13" ht="15">
      <c r="A28" s="84" t="s">
        <v>150</v>
      </c>
      <c r="B28" s="84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4" ht="12.75">
      <c r="A29" s="12" t="s">
        <v>43</v>
      </c>
      <c r="B29" s="10" t="s">
        <v>318</v>
      </c>
      <c r="C29" s="10" t="s">
        <v>319</v>
      </c>
      <c r="D29" s="10" t="s">
        <v>320</v>
      </c>
      <c r="E29" s="10" t="str">
        <f>"0,7757"</f>
        <v>0,7757</v>
      </c>
      <c r="F29" s="10" t="s">
        <v>23</v>
      </c>
      <c r="G29" s="10" t="s">
        <v>221</v>
      </c>
      <c r="H29" s="11" t="s">
        <v>136</v>
      </c>
      <c r="I29" s="11" t="s">
        <v>137</v>
      </c>
      <c r="J29" s="13" t="s">
        <v>301</v>
      </c>
      <c r="K29" s="12"/>
      <c r="L29" s="12" t="str">
        <f>"55,0"</f>
        <v>55,0</v>
      </c>
      <c r="M29" s="12" t="str">
        <f>"42,6635"</f>
        <v>42,6635</v>
      </c>
      <c r="N29" s="10" t="s">
        <v>34</v>
      </c>
    </row>
    <row r="30" ht="12.75">
      <c r="B30" s="5" t="s">
        <v>12</v>
      </c>
    </row>
    <row r="31" spans="1:13" ht="15">
      <c r="A31" s="84" t="s">
        <v>321</v>
      </c>
      <c r="B31" s="84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4" ht="12.75">
      <c r="A32" s="12" t="s">
        <v>43</v>
      </c>
      <c r="B32" s="10" t="s">
        <v>322</v>
      </c>
      <c r="C32" s="10" t="s">
        <v>323</v>
      </c>
      <c r="D32" s="10" t="s">
        <v>324</v>
      </c>
      <c r="E32" s="10" t="str">
        <f>"0,6278"</f>
        <v>0,6278</v>
      </c>
      <c r="F32" s="10" t="s">
        <v>23</v>
      </c>
      <c r="G32" s="10" t="s">
        <v>247</v>
      </c>
      <c r="H32" s="11" t="s">
        <v>138</v>
      </c>
      <c r="I32" s="13" t="s">
        <v>139</v>
      </c>
      <c r="J32" s="11" t="s">
        <v>139</v>
      </c>
      <c r="K32" s="12"/>
      <c r="L32" s="12" t="str">
        <f>"100,0"</f>
        <v>100,0</v>
      </c>
      <c r="M32" s="12" t="str">
        <f>"62,7800"</f>
        <v>62,7800</v>
      </c>
      <c r="N32" s="10" t="s">
        <v>34</v>
      </c>
    </row>
    <row r="33" ht="12.75">
      <c r="B33" s="5" t="s">
        <v>12</v>
      </c>
    </row>
    <row r="34" spans="1:13" ht="15">
      <c r="A34" s="84" t="s">
        <v>19</v>
      </c>
      <c r="B34" s="84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4" ht="12.75">
      <c r="A35" s="12" t="s">
        <v>43</v>
      </c>
      <c r="B35" s="10" t="s">
        <v>325</v>
      </c>
      <c r="C35" s="10" t="s">
        <v>326</v>
      </c>
      <c r="D35" s="10" t="s">
        <v>327</v>
      </c>
      <c r="E35" s="10" t="str">
        <f>"0,7851"</f>
        <v>0,7851</v>
      </c>
      <c r="F35" s="10" t="s">
        <v>23</v>
      </c>
      <c r="G35" s="10" t="s">
        <v>297</v>
      </c>
      <c r="H35" s="11" t="s">
        <v>328</v>
      </c>
      <c r="I35" s="11" t="s">
        <v>276</v>
      </c>
      <c r="J35" s="13" t="s">
        <v>277</v>
      </c>
      <c r="K35" s="12"/>
      <c r="L35" s="12" t="str">
        <f>"35,0"</f>
        <v>35,0</v>
      </c>
      <c r="M35" s="12" t="str">
        <f>"33,7986"</f>
        <v>33,7986</v>
      </c>
      <c r="N35" s="10" t="s">
        <v>582</v>
      </c>
    </row>
    <row r="36" ht="12.75">
      <c r="B36" s="5" t="s">
        <v>12</v>
      </c>
    </row>
    <row r="37" spans="1:13" ht="15">
      <c r="A37" s="84" t="s">
        <v>150</v>
      </c>
      <c r="B37" s="8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4" ht="12.75">
      <c r="A38" s="19" t="s">
        <v>43</v>
      </c>
      <c r="B38" s="17" t="s">
        <v>329</v>
      </c>
      <c r="C38" s="17" t="s">
        <v>330</v>
      </c>
      <c r="D38" s="17" t="s">
        <v>331</v>
      </c>
      <c r="E38" s="17" t="str">
        <f>"0,6737"</f>
        <v>0,6737</v>
      </c>
      <c r="F38" s="17" t="s">
        <v>23</v>
      </c>
      <c r="G38" s="17" t="s">
        <v>332</v>
      </c>
      <c r="H38" s="18" t="s">
        <v>161</v>
      </c>
      <c r="I38" s="18" t="s">
        <v>146</v>
      </c>
      <c r="J38" s="19"/>
      <c r="K38" s="19"/>
      <c r="L38" s="19" t="str">
        <f>"120,0"</f>
        <v>120,0</v>
      </c>
      <c r="M38" s="19" t="str">
        <f>"87,3115"</f>
        <v>87,3115</v>
      </c>
      <c r="N38" s="17" t="s">
        <v>582</v>
      </c>
    </row>
    <row r="39" spans="1:14" ht="12.75">
      <c r="A39" s="28" t="s">
        <v>43</v>
      </c>
      <c r="B39" s="25" t="s">
        <v>167</v>
      </c>
      <c r="C39" s="25" t="s">
        <v>168</v>
      </c>
      <c r="D39" s="25" t="s">
        <v>169</v>
      </c>
      <c r="E39" s="25" t="str">
        <f>"0,6652"</f>
        <v>0,6652</v>
      </c>
      <c r="F39" s="25" t="s">
        <v>23</v>
      </c>
      <c r="G39" s="25" t="s">
        <v>170</v>
      </c>
      <c r="H39" s="27" t="s">
        <v>145</v>
      </c>
      <c r="I39" s="27" t="s">
        <v>147</v>
      </c>
      <c r="J39" s="26" t="s">
        <v>100</v>
      </c>
      <c r="K39" s="28"/>
      <c r="L39" s="28" t="str">
        <f>"125,0"</f>
        <v>125,0</v>
      </c>
      <c r="M39" s="28" t="str">
        <f>"84,8130"</f>
        <v>84,8130</v>
      </c>
      <c r="N39" s="25" t="s">
        <v>582</v>
      </c>
    </row>
    <row r="40" spans="1:14" ht="12.75">
      <c r="A40" s="24" t="s">
        <v>43</v>
      </c>
      <c r="B40" s="21" t="s">
        <v>333</v>
      </c>
      <c r="C40" s="21" t="s">
        <v>334</v>
      </c>
      <c r="D40" s="21" t="s">
        <v>153</v>
      </c>
      <c r="E40" s="21" t="str">
        <f>"0,6659"</f>
        <v>0,6659</v>
      </c>
      <c r="F40" s="21" t="s">
        <v>23</v>
      </c>
      <c r="G40" s="21" t="s">
        <v>125</v>
      </c>
      <c r="H40" s="22" t="s">
        <v>161</v>
      </c>
      <c r="I40" s="23" t="s">
        <v>146</v>
      </c>
      <c r="J40" s="23" t="s">
        <v>146</v>
      </c>
      <c r="K40" s="24"/>
      <c r="L40" s="24" t="str">
        <f>"110,0"</f>
        <v>110,0</v>
      </c>
      <c r="M40" s="24" t="str">
        <f>"73,2490"</f>
        <v>73,2490</v>
      </c>
      <c r="N40" s="21" t="s">
        <v>582</v>
      </c>
    </row>
    <row r="41" ht="12.75">
      <c r="B41" s="5" t="s">
        <v>12</v>
      </c>
    </row>
    <row r="42" spans="1:13" ht="15">
      <c r="A42" s="84" t="s">
        <v>44</v>
      </c>
      <c r="B42" s="8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4" ht="12.75">
      <c r="A43" s="19" t="s">
        <v>43</v>
      </c>
      <c r="B43" s="17" t="s">
        <v>335</v>
      </c>
      <c r="C43" s="17" t="s">
        <v>336</v>
      </c>
      <c r="D43" s="17" t="s">
        <v>337</v>
      </c>
      <c r="E43" s="17" t="str">
        <f>"0,6290"</f>
        <v>0,6290</v>
      </c>
      <c r="F43" s="17" t="s">
        <v>23</v>
      </c>
      <c r="G43" s="17" t="s">
        <v>309</v>
      </c>
      <c r="H43" s="20" t="s">
        <v>102</v>
      </c>
      <c r="I43" s="18" t="s">
        <v>102</v>
      </c>
      <c r="J43" s="18" t="s">
        <v>171</v>
      </c>
      <c r="K43" s="19"/>
      <c r="L43" s="19" t="str">
        <f>"157,5"</f>
        <v>157,5</v>
      </c>
      <c r="M43" s="19" t="str">
        <f>"99,0675"</f>
        <v>99,0675</v>
      </c>
      <c r="N43" s="17" t="s">
        <v>582</v>
      </c>
    </row>
    <row r="44" spans="1:14" ht="12.75">
      <c r="A44" s="28" t="s">
        <v>84</v>
      </c>
      <c r="B44" s="25" t="s">
        <v>338</v>
      </c>
      <c r="C44" s="25" t="s">
        <v>339</v>
      </c>
      <c r="D44" s="25" t="s">
        <v>340</v>
      </c>
      <c r="E44" s="25" t="str">
        <f>"0,6241"</f>
        <v>0,6241</v>
      </c>
      <c r="F44" s="25" t="s">
        <v>23</v>
      </c>
      <c r="G44" s="25" t="s">
        <v>297</v>
      </c>
      <c r="H44" s="27" t="s">
        <v>184</v>
      </c>
      <c r="I44" s="27" t="s">
        <v>185</v>
      </c>
      <c r="J44" s="27" t="s">
        <v>341</v>
      </c>
      <c r="K44" s="28"/>
      <c r="L44" s="28" t="str">
        <f>"147,5"</f>
        <v>147,5</v>
      </c>
      <c r="M44" s="28" t="str">
        <f>"92,0548"</f>
        <v>92,0548</v>
      </c>
      <c r="N44" s="25" t="s">
        <v>342</v>
      </c>
    </row>
    <row r="45" spans="1:14" ht="12.75">
      <c r="A45" s="28" t="s">
        <v>407</v>
      </c>
      <c r="B45" s="25" t="s">
        <v>343</v>
      </c>
      <c r="C45" s="25" t="s">
        <v>344</v>
      </c>
      <c r="D45" s="25" t="s">
        <v>345</v>
      </c>
      <c r="E45" s="25" t="str">
        <f>"0,6219"</f>
        <v>0,6219</v>
      </c>
      <c r="F45" s="25" t="s">
        <v>23</v>
      </c>
      <c r="G45" s="25" t="s">
        <v>57</v>
      </c>
      <c r="H45" s="27" t="s">
        <v>165</v>
      </c>
      <c r="I45" s="27" t="s">
        <v>101</v>
      </c>
      <c r="J45" s="26" t="s">
        <v>341</v>
      </c>
      <c r="K45" s="28"/>
      <c r="L45" s="28" t="str">
        <f>"140,0"</f>
        <v>140,0</v>
      </c>
      <c r="M45" s="28" t="str">
        <f>"87,0660"</f>
        <v>87,0660</v>
      </c>
      <c r="N45" s="25" t="s">
        <v>582</v>
      </c>
    </row>
    <row r="46" spans="1:14" ht="12.75">
      <c r="A46" s="28" t="s">
        <v>83</v>
      </c>
      <c r="B46" s="25" t="s">
        <v>346</v>
      </c>
      <c r="C46" s="25" t="s">
        <v>347</v>
      </c>
      <c r="D46" s="25" t="s">
        <v>345</v>
      </c>
      <c r="E46" s="25" t="str">
        <f>"0,6219"</f>
        <v>0,6219</v>
      </c>
      <c r="F46" s="25" t="s">
        <v>23</v>
      </c>
      <c r="G46" s="25" t="s">
        <v>57</v>
      </c>
      <c r="H46" s="26" t="s">
        <v>147</v>
      </c>
      <c r="I46" s="26" t="s">
        <v>147</v>
      </c>
      <c r="J46" s="26" t="s">
        <v>147</v>
      </c>
      <c r="K46" s="28"/>
      <c r="L46" s="28" t="str">
        <f>"0.00"</f>
        <v>0.00</v>
      </c>
      <c r="M46" s="28" t="str">
        <f>"0,0000"</f>
        <v>0,0000</v>
      </c>
      <c r="N46" s="25" t="s">
        <v>582</v>
      </c>
    </row>
    <row r="47" spans="1:14" ht="12.75">
      <c r="A47" s="28" t="s">
        <v>43</v>
      </c>
      <c r="B47" s="25" t="s">
        <v>348</v>
      </c>
      <c r="C47" s="25" t="s">
        <v>349</v>
      </c>
      <c r="D47" s="25" t="s">
        <v>350</v>
      </c>
      <c r="E47" s="25" t="str">
        <f>"0,6461"</f>
        <v>0,6461</v>
      </c>
      <c r="F47" s="25" t="s">
        <v>23</v>
      </c>
      <c r="G47" s="25" t="s">
        <v>247</v>
      </c>
      <c r="H47" s="27" t="s">
        <v>161</v>
      </c>
      <c r="I47" s="27" t="s">
        <v>145</v>
      </c>
      <c r="J47" s="26" t="s">
        <v>146</v>
      </c>
      <c r="K47" s="28"/>
      <c r="L47" s="28" t="str">
        <f>"115,0"</f>
        <v>115,0</v>
      </c>
      <c r="M47" s="28" t="str">
        <f>"118,1394"</f>
        <v>118,1394</v>
      </c>
      <c r="N47" s="25" t="s">
        <v>582</v>
      </c>
    </row>
    <row r="48" spans="1:14" ht="12.75">
      <c r="A48" s="24" t="s">
        <v>43</v>
      </c>
      <c r="B48" s="21" t="s">
        <v>351</v>
      </c>
      <c r="C48" s="21" t="s">
        <v>352</v>
      </c>
      <c r="D48" s="21" t="s">
        <v>353</v>
      </c>
      <c r="E48" s="21" t="str">
        <f>"0,6511"</f>
        <v>0,6511</v>
      </c>
      <c r="F48" s="21" t="s">
        <v>23</v>
      </c>
      <c r="G48" s="21" t="s">
        <v>354</v>
      </c>
      <c r="H48" s="22" t="s">
        <v>139</v>
      </c>
      <c r="I48" s="22" t="s">
        <v>94</v>
      </c>
      <c r="J48" s="22" t="s">
        <v>180</v>
      </c>
      <c r="K48" s="24"/>
      <c r="L48" s="24" t="str">
        <f>"112,5"</f>
        <v>112,5</v>
      </c>
      <c r="M48" s="24" t="str">
        <f>"140,6376"</f>
        <v>140,6376</v>
      </c>
      <c r="N48" s="21" t="s">
        <v>582</v>
      </c>
    </row>
    <row r="49" ht="12.75">
      <c r="B49" s="5" t="s">
        <v>12</v>
      </c>
    </row>
    <row r="50" spans="1:13" ht="15">
      <c r="A50" s="84" t="s">
        <v>47</v>
      </c>
      <c r="B50" s="8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4" ht="12.75">
      <c r="A51" s="19" t="s">
        <v>43</v>
      </c>
      <c r="B51" s="17" t="s">
        <v>355</v>
      </c>
      <c r="C51" s="17" t="s">
        <v>356</v>
      </c>
      <c r="D51" s="17" t="s">
        <v>357</v>
      </c>
      <c r="E51" s="17" t="str">
        <f>"0,5881"</f>
        <v>0,5881</v>
      </c>
      <c r="F51" s="17" t="s">
        <v>23</v>
      </c>
      <c r="G51" s="17" t="s">
        <v>216</v>
      </c>
      <c r="H51" s="18" t="s">
        <v>166</v>
      </c>
      <c r="I51" s="18" t="s">
        <v>358</v>
      </c>
      <c r="J51" s="18" t="s">
        <v>194</v>
      </c>
      <c r="K51" s="19"/>
      <c r="L51" s="19" t="str">
        <f>"177,5"</f>
        <v>177,5</v>
      </c>
      <c r="M51" s="19" t="str">
        <f>"106,4755"</f>
        <v>106,4755</v>
      </c>
      <c r="N51" s="17" t="s">
        <v>582</v>
      </c>
    </row>
    <row r="52" spans="1:14" ht="12.75">
      <c r="A52" s="28" t="s">
        <v>43</v>
      </c>
      <c r="B52" s="25" t="s">
        <v>359</v>
      </c>
      <c r="C52" s="25" t="s">
        <v>360</v>
      </c>
      <c r="D52" s="25" t="s">
        <v>361</v>
      </c>
      <c r="E52" s="25" t="str">
        <f>"0,5952"</f>
        <v>0,5952</v>
      </c>
      <c r="F52" s="25" t="s">
        <v>23</v>
      </c>
      <c r="G52" s="25" t="s">
        <v>57</v>
      </c>
      <c r="H52" s="27" t="s">
        <v>32</v>
      </c>
      <c r="I52" s="27" t="s">
        <v>77</v>
      </c>
      <c r="J52" s="26" t="s">
        <v>33</v>
      </c>
      <c r="K52" s="28"/>
      <c r="L52" s="28" t="str">
        <f>"195,0"</f>
        <v>195,0</v>
      </c>
      <c r="M52" s="28" t="str">
        <f>"116,0640"</f>
        <v>116,0640</v>
      </c>
      <c r="N52" s="25" t="s">
        <v>582</v>
      </c>
    </row>
    <row r="53" spans="1:14" ht="12.75">
      <c r="A53" s="28" t="s">
        <v>84</v>
      </c>
      <c r="B53" s="25" t="s">
        <v>362</v>
      </c>
      <c r="C53" s="25" t="s">
        <v>363</v>
      </c>
      <c r="D53" s="25" t="s">
        <v>364</v>
      </c>
      <c r="E53" s="25" t="str">
        <f>"0,5947"</f>
        <v>0,5947</v>
      </c>
      <c r="F53" s="25" t="s">
        <v>23</v>
      </c>
      <c r="G53" s="25" t="s">
        <v>57</v>
      </c>
      <c r="H53" s="27" t="s">
        <v>31</v>
      </c>
      <c r="I53" s="27" t="s">
        <v>32</v>
      </c>
      <c r="J53" s="26" t="s">
        <v>59</v>
      </c>
      <c r="K53" s="28"/>
      <c r="L53" s="28" t="str">
        <f>"185,0"</f>
        <v>185,0</v>
      </c>
      <c r="M53" s="28" t="str">
        <f>"110,0195"</f>
        <v>110,0195</v>
      </c>
      <c r="N53" s="25" t="s">
        <v>582</v>
      </c>
    </row>
    <row r="54" spans="1:14" ht="12.75">
      <c r="A54" s="28" t="s">
        <v>407</v>
      </c>
      <c r="B54" s="25" t="s">
        <v>365</v>
      </c>
      <c r="C54" s="25" t="s">
        <v>366</v>
      </c>
      <c r="D54" s="25" t="s">
        <v>367</v>
      </c>
      <c r="E54" s="25" t="str">
        <f>"0,5899"</f>
        <v>0,5899</v>
      </c>
      <c r="F54" s="25" t="s">
        <v>23</v>
      </c>
      <c r="G54" s="25" t="s">
        <v>57</v>
      </c>
      <c r="H54" s="27" t="s">
        <v>212</v>
      </c>
      <c r="I54" s="26" t="s">
        <v>157</v>
      </c>
      <c r="J54" s="26" t="s">
        <v>157</v>
      </c>
      <c r="K54" s="28"/>
      <c r="L54" s="28" t="str">
        <f>"155,0"</f>
        <v>155,0</v>
      </c>
      <c r="M54" s="28" t="str">
        <f>"91,4345"</f>
        <v>91,4345</v>
      </c>
      <c r="N54" s="25" t="s">
        <v>582</v>
      </c>
    </row>
    <row r="55" spans="1:14" ht="12.75">
      <c r="A55" s="28" t="s">
        <v>408</v>
      </c>
      <c r="B55" s="25" t="s">
        <v>368</v>
      </c>
      <c r="C55" s="25" t="s">
        <v>369</v>
      </c>
      <c r="D55" s="25" t="s">
        <v>370</v>
      </c>
      <c r="E55" s="25" t="str">
        <f>"0,5885"</f>
        <v>0,5885</v>
      </c>
      <c r="F55" s="25" t="s">
        <v>23</v>
      </c>
      <c r="G55" s="25" t="s">
        <v>297</v>
      </c>
      <c r="H55" s="27" t="s">
        <v>119</v>
      </c>
      <c r="I55" s="27" t="s">
        <v>102</v>
      </c>
      <c r="J55" s="26" t="s">
        <v>212</v>
      </c>
      <c r="K55" s="28"/>
      <c r="L55" s="28" t="str">
        <f>"150,0"</f>
        <v>150,0</v>
      </c>
      <c r="M55" s="28" t="str">
        <f>"88,2750"</f>
        <v>88,2750</v>
      </c>
      <c r="N55" s="25" t="s">
        <v>342</v>
      </c>
    </row>
    <row r="56" spans="1:14" ht="12.75">
      <c r="A56" s="28" t="s">
        <v>409</v>
      </c>
      <c r="B56" s="25" t="s">
        <v>371</v>
      </c>
      <c r="C56" s="25" t="s">
        <v>372</v>
      </c>
      <c r="D56" s="25" t="s">
        <v>373</v>
      </c>
      <c r="E56" s="25" t="str">
        <f>"0,5969"</f>
        <v>0,5969</v>
      </c>
      <c r="F56" s="25" t="s">
        <v>23</v>
      </c>
      <c r="G56" s="25" t="s">
        <v>144</v>
      </c>
      <c r="H56" s="27" t="s">
        <v>100</v>
      </c>
      <c r="I56" s="27" t="s">
        <v>165</v>
      </c>
      <c r="J56" s="26" t="s">
        <v>184</v>
      </c>
      <c r="K56" s="28"/>
      <c r="L56" s="28" t="str">
        <f>"135,0"</f>
        <v>135,0</v>
      </c>
      <c r="M56" s="28" t="str">
        <f>"80,5815"</f>
        <v>80,5815</v>
      </c>
      <c r="N56" s="25" t="s">
        <v>582</v>
      </c>
    </row>
    <row r="57" spans="1:14" ht="12.75">
      <c r="A57" s="28" t="s">
        <v>43</v>
      </c>
      <c r="B57" s="25" t="s">
        <v>368</v>
      </c>
      <c r="C57" s="25" t="s">
        <v>374</v>
      </c>
      <c r="D57" s="25" t="s">
        <v>370</v>
      </c>
      <c r="E57" s="25" t="str">
        <f>"0,5885"</f>
        <v>0,5885</v>
      </c>
      <c r="F57" s="25" t="s">
        <v>23</v>
      </c>
      <c r="G57" s="25" t="s">
        <v>297</v>
      </c>
      <c r="H57" s="27" t="s">
        <v>119</v>
      </c>
      <c r="I57" s="27" t="s">
        <v>102</v>
      </c>
      <c r="J57" s="26" t="s">
        <v>212</v>
      </c>
      <c r="K57" s="28"/>
      <c r="L57" s="28" t="str">
        <f>"150,0"</f>
        <v>150,0</v>
      </c>
      <c r="M57" s="28" t="str">
        <f>"96,3963"</f>
        <v>96,3963</v>
      </c>
      <c r="N57" s="25" t="s">
        <v>342</v>
      </c>
    </row>
    <row r="58" spans="1:14" ht="12.75">
      <c r="A58" s="24" t="s">
        <v>43</v>
      </c>
      <c r="B58" s="21" t="s">
        <v>237</v>
      </c>
      <c r="C58" s="21" t="s">
        <v>238</v>
      </c>
      <c r="D58" s="21" t="s">
        <v>239</v>
      </c>
      <c r="E58" s="21" t="str">
        <f>"0,5873"</f>
        <v>0,5873</v>
      </c>
      <c r="F58" s="21" t="s">
        <v>23</v>
      </c>
      <c r="G58" s="21" t="s">
        <v>240</v>
      </c>
      <c r="H58" s="22" t="s">
        <v>180</v>
      </c>
      <c r="I58" s="22" t="s">
        <v>145</v>
      </c>
      <c r="J58" s="24"/>
      <c r="K58" s="24"/>
      <c r="L58" s="24" t="str">
        <f>"115,0"</f>
        <v>115,0</v>
      </c>
      <c r="M58" s="24" t="str">
        <f>"137,1052"</f>
        <v>137,1052</v>
      </c>
      <c r="N58" s="21" t="s">
        <v>582</v>
      </c>
    </row>
    <row r="59" ht="12.75">
      <c r="B59" s="5" t="s">
        <v>12</v>
      </c>
    </row>
    <row r="60" spans="1:13" ht="15">
      <c r="A60" s="84" t="s">
        <v>56</v>
      </c>
      <c r="B60" s="84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4" ht="12.75">
      <c r="A61" s="19" t="s">
        <v>43</v>
      </c>
      <c r="B61" s="17" t="s">
        <v>375</v>
      </c>
      <c r="C61" s="17" t="s">
        <v>376</v>
      </c>
      <c r="D61" s="17" t="s">
        <v>377</v>
      </c>
      <c r="E61" s="17" t="str">
        <f>"0,5589"</f>
        <v>0,5589</v>
      </c>
      <c r="F61" s="17" t="s">
        <v>23</v>
      </c>
      <c r="G61" s="17" t="s">
        <v>332</v>
      </c>
      <c r="H61" s="18" t="s">
        <v>101</v>
      </c>
      <c r="I61" s="18" t="s">
        <v>232</v>
      </c>
      <c r="J61" s="18" t="s">
        <v>166</v>
      </c>
      <c r="K61" s="19"/>
      <c r="L61" s="19" t="str">
        <f>"167,5"</f>
        <v>167,5</v>
      </c>
      <c r="M61" s="19" t="str">
        <f>"93,6157"</f>
        <v>93,6157</v>
      </c>
      <c r="N61" s="17" t="s">
        <v>34</v>
      </c>
    </row>
    <row r="62" spans="1:14" ht="12.75">
      <c r="A62" s="28" t="s">
        <v>84</v>
      </c>
      <c r="B62" s="25" t="s">
        <v>241</v>
      </c>
      <c r="C62" s="25" t="s">
        <v>242</v>
      </c>
      <c r="D62" s="25" t="s">
        <v>243</v>
      </c>
      <c r="E62" s="25" t="str">
        <f>"0,5669"</f>
        <v>0,5669</v>
      </c>
      <c r="F62" s="25" t="s">
        <v>23</v>
      </c>
      <c r="G62" s="25" t="s">
        <v>170</v>
      </c>
      <c r="H62" s="27" t="s">
        <v>171</v>
      </c>
      <c r="I62" s="26" t="s">
        <v>232</v>
      </c>
      <c r="J62" s="26" t="s">
        <v>232</v>
      </c>
      <c r="K62" s="28"/>
      <c r="L62" s="28" t="str">
        <f>"157,5"</f>
        <v>157,5</v>
      </c>
      <c r="M62" s="28" t="str">
        <f>"89,2868"</f>
        <v>89,2868</v>
      </c>
      <c r="N62" s="25" t="s">
        <v>34</v>
      </c>
    </row>
    <row r="63" spans="1:14" ht="12.75">
      <c r="A63" s="24" t="s">
        <v>407</v>
      </c>
      <c r="B63" s="21" t="s">
        <v>378</v>
      </c>
      <c r="C63" s="21" t="s">
        <v>379</v>
      </c>
      <c r="D63" s="21" t="s">
        <v>380</v>
      </c>
      <c r="E63" s="21" t="str">
        <f>"0,5548"</f>
        <v>0,5548</v>
      </c>
      <c r="F63" s="21" t="s">
        <v>23</v>
      </c>
      <c r="G63" s="21" t="s">
        <v>297</v>
      </c>
      <c r="H63" s="22" t="s">
        <v>100</v>
      </c>
      <c r="I63" s="22" t="s">
        <v>184</v>
      </c>
      <c r="J63" s="22" t="s">
        <v>101</v>
      </c>
      <c r="K63" s="24"/>
      <c r="L63" s="24" t="str">
        <f>"140,0"</f>
        <v>140,0</v>
      </c>
      <c r="M63" s="24" t="str">
        <f>"77,6720"</f>
        <v>77,6720</v>
      </c>
      <c r="N63" s="21" t="s">
        <v>342</v>
      </c>
    </row>
    <row r="64" ht="12.75">
      <c r="B64" s="5" t="s">
        <v>12</v>
      </c>
    </row>
    <row r="65" spans="1:13" ht="15">
      <c r="A65" s="84" t="s">
        <v>257</v>
      </c>
      <c r="B65" s="84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4" ht="12.75">
      <c r="A66" s="19" t="s">
        <v>43</v>
      </c>
      <c r="B66" s="17" t="s">
        <v>381</v>
      </c>
      <c r="C66" s="17" t="s">
        <v>313</v>
      </c>
      <c r="D66" s="17" t="s">
        <v>382</v>
      </c>
      <c r="E66" s="17" t="str">
        <f>"0,5405"</f>
        <v>0,5405</v>
      </c>
      <c r="F66" s="17" t="s">
        <v>23</v>
      </c>
      <c r="G66" s="17" t="s">
        <v>57</v>
      </c>
      <c r="H66" s="18" t="s">
        <v>27</v>
      </c>
      <c r="I66" s="18" t="s">
        <v>79</v>
      </c>
      <c r="J66" s="18" t="s">
        <v>64</v>
      </c>
      <c r="K66" s="19"/>
      <c r="L66" s="19" t="str">
        <f>"220,0"</f>
        <v>220,0</v>
      </c>
      <c r="M66" s="19" t="str">
        <f>"118,9100"</f>
        <v>118,9100</v>
      </c>
      <c r="N66" s="17" t="s">
        <v>34</v>
      </c>
    </row>
    <row r="67" spans="1:14" ht="12.75">
      <c r="A67" s="24" t="s">
        <v>84</v>
      </c>
      <c r="B67" s="21" t="s">
        <v>383</v>
      </c>
      <c r="C67" s="21" t="s">
        <v>384</v>
      </c>
      <c r="D67" s="21" t="s">
        <v>385</v>
      </c>
      <c r="E67" s="21" t="str">
        <f>"0,5493"</f>
        <v>0,5493</v>
      </c>
      <c r="F67" s="21" t="s">
        <v>23</v>
      </c>
      <c r="G67" s="21" t="s">
        <v>125</v>
      </c>
      <c r="H67" s="22" t="s">
        <v>386</v>
      </c>
      <c r="I67" s="22" t="s">
        <v>72</v>
      </c>
      <c r="J67" s="23" t="s">
        <v>166</v>
      </c>
      <c r="K67" s="24"/>
      <c r="L67" s="24" t="str">
        <f>"160,0"</f>
        <v>160,0</v>
      </c>
      <c r="M67" s="24" t="str">
        <f>"87,8880"</f>
        <v>87,8880</v>
      </c>
      <c r="N67" s="21" t="s">
        <v>34</v>
      </c>
    </row>
    <row r="68" ht="12.75">
      <c r="B68" s="5" t="s">
        <v>12</v>
      </c>
    </row>
    <row r="69" spans="1:13" ht="15">
      <c r="A69" s="84" t="s">
        <v>62</v>
      </c>
      <c r="B69" s="84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4" ht="12.75">
      <c r="A70" s="19" t="s">
        <v>43</v>
      </c>
      <c r="B70" s="17" t="s">
        <v>387</v>
      </c>
      <c r="C70" s="17" t="s">
        <v>388</v>
      </c>
      <c r="D70" s="17" t="s">
        <v>389</v>
      </c>
      <c r="E70" s="17" t="str">
        <f>"0,5235"</f>
        <v>0,5235</v>
      </c>
      <c r="F70" s="17" t="s">
        <v>23</v>
      </c>
      <c r="G70" s="17" t="s">
        <v>390</v>
      </c>
      <c r="H70" s="20" t="s">
        <v>26</v>
      </c>
      <c r="I70" s="18" t="s">
        <v>93</v>
      </c>
      <c r="J70" s="18" t="s">
        <v>59</v>
      </c>
      <c r="K70" s="19"/>
      <c r="L70" s="19" t="str">
        <f>"190,0"</f>
        <v>190,0</v>
      </c>
      <c r="M70" s="19" t="str">
        <f>"99,4650"</f>
        <v>99,4650</v>
      </c>
      <c r="N70" s="17" t="s">
        <v>34</v>
      </c>
    </row>
    <row r="71" spans="1:14" ht="12.75">
      <c r="A71" s="28" t="s">
        <v>84</v>
      </c>
      <c r="B71" s="25" t="s">
        <v>391</v>
      </c>
      <c r="C71" s="25" t="s">
        <v>392</v>
      </c>
      <c r="D71" s="25" t="s">
        <v>393</v>
      </c>
      <c r="E71" s="25" t="str">
        <f>"0,5240"</f>
        <v>0,5240</v>
      </c>
      <c r="F71" s="25" t="s">
        <v>23</v>
      </c>
      <c r="G71" s="25" t="s">
        <v>57</v>
      </c>
      <c r="H71" s="27" t="s">
        <v>31</v>
      </c>
      <c r="I71" s="26" t="s">
        <v>25</v>
      </c>
      <c r="J71" s="27" t="s">
        <v>25</v>
      </c>
      <c r="K71" s="28"/>
      <c r="L71" s="28" t="str">
        <f>"175,0"</f>
        <v>175,0</v>
      </c>
      <c r="M71" s="28" t="str">
        <f>"91,7000"</f>
        <v>91,7000</v>
      </c>
      <c r="N71" s="25" t="s">
        <v>34</v>
      </c>
    </row>
    <row r="72" spans="1:14" ht="12.75">
      <c r="A72" s="24" t="s">
        <v>407</v>
      </c>
      <c r="B72" s="21" t="s">
        <v>394</v>
      </c>
      <c r="C72" s="21" t="s">
        <v>395</v>
      </c>
      <c r="D72" s="21" t="s">
        <v>393</v>
      </c>
      <c r="E72" s="21" t="str">
        <f>"0,5240"</f>
        <v>0,5240</v>
      </c>
      <c r="F72" s="21" t="s">
        <v>23</v>
      </c>
      <c r="G72" s="21" t="s">
        <v>396</v>
      </c>
      <c r="H72" s="22" t="s">
        <v>31</v>
      </c>
      <c r="I72" s="23" t="s">
        <v>25</v>
      </c>
      <c r="J72" s="23" t="s">
        <v>25</v>
      </c>
      <c r="K72" s="24"/>
      <c r="L72" s="24" t="str">
        <f>"170,0"</f>
        <v>170,0</v>
      </c>
      <c r="M72" s="24" t="str">
        <f>"89,0800"</f>
        <v>89,0800</v>
      </c>
      <c r="N72" s="21" t="s">
        <v>34</v>
      </c>
    </row>
    <row r="73" ht="12.75">
      <c r="B73" s="5" t="s">
        <v>12</v>
      </c>
    </row>
    <row r="74" spans="1:13" ht="15">
      <c r="A74" s="84" t="s">
        <v>71</v>
      </c>
      <c r="B74" s="84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4" ht="12.75">
      <c r="A75" s="12" t="s">
        <v>43</v>
      </c>
      <c r="B75" s="10" t="s">
        <v>397</v>
      </c>
      <c r="C75" s="10" t="s">
        <v>398</v>
      </c>
      <c r="D75" s="10" t="s">
        <v>399</v>
      </c>
      <c r="E75" s="10" t="str">
        <f>"0,5060"</f>
        <v>0,5060</v>
      </c>
      <c r="F75" s="10" t="s">
        <v>23</v>
      </c>
      <c r="G75" s="10" t="s">
        <v>390</v>
      </c>
      <c r="H75" s="11" t="s">
        <v>64</v>
      </c>
      <c r="I75" s="11" t="s">
        <v>109</v>
      </c>
      <c r="J75" s="11" t="s">
        <v>89</v>
      </c>
      <c r="K75" s="12"/>
      <c r="L75" s="12" t="str">
        <f>"237,5"</f>
        <v>237,5</v>
      </c>
      <c r="M75" s="12" t="str">
        <f>"120,1821"</f>
        <v>120,1821</v>
      </c>
      <c r="N75" s="10" t="s">
        <v>34</v>
      </c>
    </row>
    <row r="76" ht="12.75">
      <c r="B76" s="5" t="s">
        <v>12</v>
      </c>
    </row>
    <row r="77" spans="2:6" ht="15">
      <c r="B77" s="5" t="s">
        <v>12</v>
      </c>
      <c r="F77" s="7"/>
    </row>
    <row r="78" spans="2:6" ht="15">
      <c r="B78" s="5" t="s">
        <v>12</v>
      </c>
      <c r="F78" s="7"/>
    </row>
    <row r="79" spans="2:6" ht="15">
      <c r="B79" s="5" t="s">
        <v>12</v>
      </c>
      <c r="F79" s="7"/>
    </row>
    <row r="80" spans="2:6" ht="15">
      <c r="B80" s="5" t="s">
        <v>12</v>
      </c>
      <c r="F80" s="7"/>
    </row>
    <row r="81" spans="2:6" ht="15">
      <c r="B81" s="5" t="s">
        <v>12</v>
      </c>
      <c r="F81" s="7"/>
    </row>
    <row r="82" spans="2:6" ht="15">
      <c r="B82" s="5" t="s">
        <v>12</v>
      </c>
      <c r="F82" s="7"/>
    </row>
    <row r="83" spans="2:6" ht="15">
      <c r="B83" s="5" t="s">
        <v>12</v>
      </c>
      <c r="F83" s="7"/>
    </row>
    <row r="84" ht="12.75">
      <c r="B84" s="5" t="s">
        <v>12</v>
      </c>
    </row>
    <row r="85" spans="2:4" ht="18">
      <c r="B85" s="5" t="s">
        <v>12</v>
      </c>
      <c r="C85" s="8" t="s">
        <v>11</v>
      </c>
      <c r="D85" s="8"/>
    </row>
    <row r="86" spans="2:4" ht="15">
      <c r="B86" s="5" t="s">
        <v>12</v>
      </c>
      <c r="C86" s="14" t="s">
        <v>201</v>
      </c>
      <c r="D86" s="14"/>
    </row>
    <row r="87" spans="2:4" ht="14.25">
      <c r="B87" s="5" t="s">
        <v>12</v>
      </c>
      <c r="C87" s="15"/>
      <c r="D87" s="15" t="s">
        <v>36</v>
      </c>
    </row>
    <row r="88" spans="2:7" ht="15">
      <c r="B88" s="5" t="s">
        <v>12</v>
      </c>
      <c r="C88" s="9" t="s">
        <v>37</v>
      </c>
      <c r="D88" s="9" t="s">
        <v>38</v>
      </c>
      <c r="E88" s="9" t="s">
        <v>39</v>
      </c>
      <c r="F88" s="9" t="s">
        <v>40</v>
      </c>
      <c r="G88" s="9" t="s">
        <v>41</v>
      </c>
    </row>
    <row r="89" spans="2:7" ht="12.75">
      <c r="B89" s="5" t="s">
        <v>12</v>
      </c>
      <c r="C89" s="5" t="s">
        <v>141</v>
      </c>
      <c r="D89" s="5" t="s">
        <v>36</v>
      </c>
      <c r="E89" s="6" t="s">
        <v>42</v>
      </c>
      <c r="F89" s="6" t="s">
        <v>28</v>
      </c>
      <c r="G89" s="6" t="s">
        <v>400</v>
      </c>
    </row>
    <row r="90" spans="2:7" ht="12.75">
      <c r="B90" s="5" t="s">
        <v>12</v>
      </c>
      <c r="C90" s="5" t="s">
        <v>302</v>
      </c>
      <c r="D90" s="5" t="s">
        <v>36</v>
      </c>
      <c r="E90" s="6" t="s">
        <v>203</v>
      </c>
      <c r="F90" s="6" t="s">
        <v>127</v>
      </c>
      <c r="G90" s="6" t="s">
        <v>401</v>
      </c>
    </row>
    <row r="91" spans="2:7" ht="12.75">
      <c r="B91" s="5" t="s">
        <v>12</v>
      </c>
      <c r="C91" s="5" t="s">
        <v>322</v>
      </c>
      <c r="D91" s="5" t="s">
        <v>36</v>
      </c>
      <c r="E91" s="6" t="s">
        <v>402</v>
      </c>
      <c r="F91" s="6" t="s">
        <v>139</v>
      </c>
      <c r="G91" s="6" t="s">
        <v>403</v>
      </c>
    </row>
    <row r="92" spans="2:7" ht="15">
      <c r="B92" s="5" t="s">
        <v>12</v>
      </c>
      <c r="C92" s="1"/>
      <c r="D92" s="1"/>
      <c r="E92" s="1"/>
      <c r="F92" s="1"/>
      <c r="G92" s="1"/>
    </row>
    <row r="93" spans="2:7" ht="15">
      <c r="B93" s="5" t="s">
        <v>12</v>
      </c>
      <c r="C93" s="14" t="s">
        <v>35</v>
      </c>
      <c r="E93" s="6"/>
      <c r="F93" s="6"/>
      <c r="G93" s="6"/>
    </row>
    <row r="94" ht="12.75">
      <c r="B94" s="5" t="s">
        <v>12</v>
      </c>
    </row>
    <row r="95" spans="2:4" ht="14.25">
      <c r="B95" s="5" t="s">
        <v>12</v>
      </c>
      <c r="C95" s="15"/>
      <c r="D95" s="15" t="s">
        <v>36</v>
      </c>
    </row>
    <row r="96" spans="2:7" ht="15">
      <c r="B96" s="5" t="s">
        <v>12</v>
      </c>
      <c r="C96" s="9" t="s">
        <v>37</v>
      </c>
      <c r="D96" s="9" t="s">
        <v>38</v>
      </c>
      <c r="E96" s="9" t="s">
        <v>39</v>
      </c>
      <c r="F96" s="9" t="s">
        <v>40</v>
      </c>
      <c r="G96" s="9" t="s">
        <v>41</v>
      </c>
    </row>
    <row r="97" spans="2:7" ht="12.75">
      <c r="B97" s="5" t="s">
        <v>12</v>
      </c>
      <c r="C97" s="5" t="s">
        <v>397</v>
      </c>
      <c r="D97" s="5" t="s">
        <v>36</v>
      </c>
      <c r="E97" s="6" t="s">
        <v>115</v>
      </c>
      <c r="F97" s="6" t="s">
        <v>89</v>
      </c>
      <c r="G97" s="6" t="s">
        <v>404</v>
      </c>
    </row>
    <row r="98" spans="2:7" ht="12.75">
      <c r="B98" s="5" t="s">
        <v>12</v>
      </c>
      <c r="C98" s="5" t="s">
        <v>381</v>
      </c>
      <c r="D98" s="5" t="s">
        <v>36</v>
      </c>
      <c r="E98" s="6" t="s">
        <v>265</v>
      </c>
      <c r="F98" s="6" t="s">
        <v>64</v>
      </c>
      <c r="G98" s="6" t="s">
        <v>405</v>
      </c>
    </row>
    <row r="99" spans="2:7" ht="12.75">
      <c r="B99" s="5" t="s">
        <v>12</v>
      </c>
      <c r="C99" s="5" t="s">
        <v>359</v>
      </c>
      <c r="D99" s="5" t="s">
        <v>36</v>
      </c>
      <c r="E99" s="6" t="s">
        <v>82</v>
      </c>
      <c r="F99" s="6" t="s">
        <v>77</v>
      </c>
      <c r="G99" s="6" t="s">
        <v>406</v>
      </c>
    </row>
    <row r="100" ht="12.75">
      <c r="B100" s="5" t="s">
        <v>12</v>
      </c>
    </row>
    <row r="101" spans="2:4" ht="14.25">
      <c r="B101" s="5" t="s">
        <v>12</v>
      </c>
      <c r="C101" s="15"/>
      <c r="D101" s="15"/>
    </row>
    <row r="102" spans="2:7" ht="15">
      <c r="B102" s="5" t="s">
        <v>12</v>
      </c>
      <c r="C102" s="1"/>
      <c r="D102" s="1"/>
      <c r="E102" s="1"/>
      <c r="F102" s="1"/>
      <c r="G102" s="1"/>
    </row>
    <row r="103" spans="2:7" ht="12.75">
      <c r="B103" s="5" t="s">
        <v>12</v>
      </c>
      <c r="E103" s="6"/>
      <c r="F103" s="6"/>
      <c r="G103" s="6"/>
    </row>
    <row r="104" ht="12.75">
      <c r="B104" s="5" t="s">
        <v>12</v>
      </c>
    </row>
    <row r="105" ht="12.75">
      <c r="B105" s="5" t="s">
        <v>12</v>
      </c>
    </row>
    <row r="106" spans="2:4" ht="15">
      <c r="B106" s="5" t="s">
        <v>12</v>
      </c>
      <c r="C106" s="14"/>
      <c r="D106" s="14"/>
    </row>
    <row r="107" spans="2:4" ht="14.25">
      <c r="B107" s="5" t="s">
        <v>12</v>
      </c>
      <c r="C107" s="15"/>
      <c r="D107" s="15"/>
    </row>
    <row r="108" spans="2:7" ht="15">
      <c r="B108" s="5" t="s">
        <v>12</v>
      </c>
      <c r="C108" s="1"/>
      <c r="D108" s="1"/>
      <c r="E108" s="1"/>
      <c r="F108" s="1"/>
      <c r="G108" s="1"/>
    </row>
    <row r="109" spans="2:7" ht="12.75">
      <c r="B109" s="5" t="s">
        <v>12</v>
      </c>
      <c r="E109" s="6"/>
      <c r="F109" s="6"/>
      <c r="G109" s="6"/>
    </row>
    <row r="110" spans="2:7" ht="12.75">
      <c r="B110" s="5" t="s">
        <v>12</v>
      </c>
      <c r="E110" s="6"/>
      <c r="F110" s="6"/>
      <c r="G110" s="6"/>
    </row>
    <row r="111" ht="12.75">
      <c r="B111" s="5" t="s">
        <v>12</v>
      </c>
    </row>
    <row r="112" spans="2:4" ht="14.25">
      <c r="B112" s="5" t="s">
        <v>12</v>
      </c>
      <c r="C112" s="15"/>
      <c r="D112" s="15"/>
    </row>
    <row r="113" spans="2:7" ht="15">
      <c r="B113" s="5" t="s">
        <v>12</v>
      </c>
      <c r="C113" s="1"/>
      <c r="D113" s="1"/>
      <c r="E113" s="1"/>
      <c r="F113" s="1"/>
      <c r="G113" s="1"/>
    </row>
    <row r="114" spans="2:7" ht="12.75">
      <c r="B114" s="5" t="s">
        <v>12</v>
      </c>
      <c r="E114" s="6"/>
      <c r="F114" s="6"/>
      <c r="G114" s="6"/>
    </row>
    <row r="115" spans="2:7" ht="12.75">
      <c r="B115" s="5" t="s">
        <v>12</v>
      </c>
      <c r="E115" s="6"/>
      <c r="F115" s="6"/>
      <c r="G115" s="6"/>
    </row>
    <row r="116" ht="12.75">
      <c r="B116" s="5" t="s">
        <v>12</v>
      </c>
    </row>
    <row r="117" spans="2:4" ht="14.25">
      <c r="B117" s="5" t="s">
        <v>12</v>
      </c>
      <c r="C117" s="15"/>
      <c r="D117" s="15"/>
    </row>
    <row r="118" spans="2:7" ht="15">
      <c r="B118" s="5" t="s">
        <v>12</v>
      </c>
      <c r="C118" s="1"/>
      <c r="D118" s="1"/>
      <c r="E118" s="1"/>
      <c r="F118" s="1"/>
      <c r="G118" s="1"/>
    </row>
    <row r="119" spans="2:7" ht="12.75">
      <c r="B119" s="5" t="s">
        <v>12</v>
      </c>
      <c r="E119" s="6"/>
      <c r="F119" s="6"/>
      <c r="G119" s="6"/>
    </row>
    <row r="120" spans="2:7" ht="12.75">
      <c r="B120" s="5" t="s">
        <v>12</v>
      </c>
      <c r="E120" s="6"/>
      <c r="F120" s="6"/>
      <c r="G120" s="6"/>
    </row>
    <row r="121" spans="2:7" ht="12.75">
      <c r="B121" s="5" t="s">
        <v>12</v>
      </c>
      <c r="E121" s="6"/>
      <c r="F121" s="6"/>
      <c r="G121" s="6"/>
    </row>
    <row r="122" ht="12.75">
      <c r="B122" s="5" t="s">
        <v>12</v>
      </c>
    </row>
    <row r="123" spans="2:4" ht="14.25">
      <c r="B123" s="5" t="s">
        <v>12</v>
      </c>
      <c r="C123" s="15"/>
      <c r="D123" s="15"/>
    </row>
    <row r="124" spans="2:7" ht="15">
      <c r="B124" s="5" t="s">
        <v>12</v>
      </c>
      <c r="C124" s="1"/>
      <c r="D124" s="1"/>
      <c r="E124" s="1"/>
      <c r="F124" s="1"/>
      <c r="G124" s="1"/>
    </row>
    <row r="125" spans="2:7" ht="12.75">
      <c r="B125" s="5" t="s">
        <v>12</v>
      </c>
      <c r="E125" s="6"/>
      <c r="F125" s="6"/>
      <c r="G125" s="6"/>
    </row>
    <row r="126" spans="2:7" ht="12.75">
      <c r="B126" s="5" t="s">
        <v>12</v>
      </c>
      <c r="E126" s="6"/>
      <c r="F126" s="6"/>
      <c r="G126" s="6"/>
    </row>
    <row r="127" spans="2:7" ht="12.75">
      <c r="B127" s="5" t="s">
        <v>12</v>
      </c>
      <c r="E127" s="6"/>
      <c r="F127" s="6"/>
      <c r="G127" s="6"/>
    </row>
    <row r="128" ht="12.75">
      <c r="B128" s="5" t="s">
        <v>12</v>
      </c>
    </row>
  </sheetData>
  <sheetProtection/>
  <mergeCells count="27">
    <mergeCell ref="A8:M8"/>
    <mergeCell ref="G3:G4"/>
    <mergeCell ref="H3:K3"/>
    <mergeCell ref="L3:L4"/>
    <mergeCell ref="M3:M4"/>
    <mergeCell ref="N3:N4"/>
    <mergeCell ref="A5:M5"/>
    <mergeCell ref="A65:M65"/>
    <mergeCell ref="A69:M69"/>
    <mergeCell ref="A13:M13"/>
    <mergeCell ref="B3:B4"/>
    <mergeCell ref="A1:N2"/>
    <mergeCell ref="A3:A4"/>
    <mergeCell ref="C3:C4"/>
    <mergeCell ref="D3:D4"/>
    <mergeCell ref="E3:E4"/>
    <mergeCell ref="F3:F4"/>
    <mergeCell ref="A74:M74"/>
    <mergeCell ref="A18:M18"/>
    <mergeCell ref="A21:M21"/>
    <mergeCell ref="A28:M28"/>
    <mergeCell ref="A31:M31"/>
    <mergeCell ref="A34:M34"/>
    <mergeCell ref="A37:M37"/>
    <mergeCell ref="A42:M42"/>
    <mergeCell ref="A50:M50"/>
    <mergeCell ref="A60:M6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2" sqref="G12"/>
    </sheetView>
  </sheetViews>
  <sheetFormatPr defaultColWidth="8.75390625" defaultRowHeight="12.75"/>
  <cols>
    <col min="1" max="1" width="7.375" style="5" bestFit="1" customWidth="1"/>
    <col min="2" max="2" width="14.12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9.1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266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44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267</v>
      </c>
      <c r="C6" s="10" t="s">
        <v>268</v>
      </c>
      <c r="D6" s="10" t="s">
        <v>269</v>
      </c>
      <c r="E6" s="10" t="str">
        <f>"0,6307"</f>
        <v>0,6307</v>
      </c>
      <c r="F6" s="10" t="s">
        <v>23</v>
      </c>
      <c r="G6" s="10" t="s">
        <v>57</v>
      </c>
      <c r="H6" s="13" t="s">
        <v>72</v>
      </c>
      <c r="I6" s="11" t="s">
        <v>72</v>
      </c>
      <c r="J6" s="13" t="s">
        <v>31</v>
      </c>
      <c r="K6" s="12"/>
      <c r="L6" s="12" t="str">
        <f>"160,0"</f>
        <v>160,0</v>
      </c>
      <c r="M6" s="12" t="str">
        <f>"144,3042"</f>
        <v>144,3042</v>
      </c>
      <c r="N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:V2"/>
    </sheetView>
  </sheetViews>
  <sheetFormatPr defaultColWidth="8.75390625" defaultRowHeight="12.75"/>
  <cols>
    <col min="1" max="1" width="7.375" style="5" bestFit="1" customWidth="1"/>
    <col min="2" max="2" width="17.00390625" style="5" bestFit="1" customWidth="1"/>
    <col min="3" max="3" width="29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40.12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5.75390625" style="5" bestFit="1" customWidth="1"/>
    <col min="23" max="16384" width="8.75390625" style="3" customWidth="1"/>
  </cols>
  <sheetData>
    <row r="1" spans="1:22" s="2" customFormat="1" ht="28.5" customHeight="1">
      <c r="A1" s="86" t="s">
        <v>588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130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2" t="s">
        <v>43</v>
      </c>
      <c r="B6" s="10" t="s">
        <v>209</v>
      </c>
      <c r="C6" s="10" t="s">
        <v>210</v>
      </c>
      <c r="D6" s="10" t="s">
        <v>211</v>
      </c>
      <c r="E6" s="10" t="str">
        <f>"0,8647"</f>
        <v>0,8647</v>
      </c>
      <c r="F6" s="10" t="s">
        <v>583</v>
      </c>
      <c r="G6" s="10" t="s">
        <v>57</v>
      </c>
      <c r="H6" s="11" t="s">
        <v>100</v>
      </c>
      <c r="I6" s="11" t="s">
        <v>100</v>
      </c>
      <c r="J6" s="11" t="s">
        <v>101</v>
      </c>
      <c r="K6" s="12"/>
      <c r="L6" s="11" t="s">
        <v>127</v>
      </c>
      <c r="M6" s="13" t="s">
        <v>128</v>
      </c>
      <c r="N6" s="13" t="s">
        <v>128</v>
      </c>
      <c r="O6" s="12"/>
      <c r="P6" s="11" t="s">
        <v>147</v>
      </c>
      <c r="Q6" s="11" t="s">
        <v>165</v>
      </c>
      <c r="R6" s="11" t="s">
        <v>212</v>
      </c>
      <c r="S6" s="12"/>
      <c r="T6" s="12" t="str">
        <f>"370,0"</f>
        <v>370,0</v>
      </c>
      <c r="U6" s="12" t="str">
        <f>"326,3189"</f>
        <v>326,3189</v>
      </c>
      <c r="V6" s="10" t="s">
        <v>582</v>
      </c>
    </row>
    <row r="7" ht="12.75">
      <c r="B7" s="5" t="s">
        <v>12</v>
      </c>
    </row>
    <row r="8" spans="1:21" ht="15">
      <c r="A8" s="84" t="s">
        <v>19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2" ht="12.75">
      <c r="A9" s="12" t="s">
        <v>43</v>
      </c>
      <c r="B9" s="10" t="s">
        <v>213</v>
      </c>
      <c r="C9" s="10" t="s">
        <v>214</v>
      </c>
      <c r="D9" s="10" t="s">
        <v>215</v>
      </c>
      <c r="E9" s="10" t="str">
        <f>"0,7347"</f>
        <v>0,7347</v>
      </c>
      <c r="F9" s="10" t="s">
        <v>583</v>
      </c>
      <c r="G9" s="10" t="s">
        <v>216</v>
      </c>
      <c r="H9" s="11" t="s">
        <v>77</v>
      </c>
      <c r="I9" s="11" t="s">
        <v>27</v>
      </c>
      <c r="J9" s="13" t="s">
        <v>69</v>
      </c>
      <c r="K9" s="12"/>
      <c r="L9" s="11" t="s">
        <v>161</v>
      </c>
      <c r="M9" s="11" t="s">
        <v>145</v>
      </c>
      <c r="N9" s="13" t="s">
        <v>146</v>
      </c>
      <c r="O9" s="12"/>
      <c r="P9" s="11" t="s">
        <v>55</v>
      </c>
      <c r="Q9" s="11" t="s">
        <v>113</v>
      </c>
      <c r="R9" s="13" t="s">
        <v>65</v>
      </c>
      <c r="S9" s="12"/>
      <c r="T9" s="12" t="str">
        <f>"542,5"</f>
        <v>542,5</v>
      </c>
      <c r="U9" s="12" t="str">
        <f>"414,5178"</f>
        <v>414,5178</v>
      </c>
      <c r="V9" s="10" t="s">
        <v>217</v>
      </c>
    </row>
    <row r="10" ht="12.75">
      <c r="B10" s="5" t="s">
        <v>12</v>
      </c>
    </row>
    <row r="11" spans="1:21" ht="15">
      <c r="A11" s="84" t="s">
        <v>44</v>
      </c>
      <c r="B11" s="8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2" ht="12.75">
      <c r="A12" s="12" t="s">
        <v>43</v>
      </c>
      <c r="B12" s="10" t="s">
        <v>218</v>
      </c>
      <c r="C12" s="10" t="s">
        <v>219</v>
      </c>
      <c r="D12" s="10" t="s">
        <v>220</v>
      </c>
      <c r="E12" s="10" t="str">
        <f>"0,6214"</f>
        <v>0,6214</v>
      </c>
      <c r="F12" s="10" t="s">
        <v>583</v>
      </c>
      <c r="G12" s="10" t="s">
        <v>221</v>
      </c>
      <c r="H12" s="13" t="s">
        <v>72</v>
      </c>
      <c r="I12" s="11" t="s">
        <v>72</v>
      </c>
      <c r="J12" s="13" t="s">
        <v>26</v>
      </c>
      <c r="K12" s="12"/>
      <c r="L12" s="11" t="s">
        <v>146</v>
      </c>
      <c r="M12" s="11" t="s">
        <v>148</v>
      </c>
      <c r="N12" s="11" t="s">
        <v>184</v>
      </c>
      <c r="O12" s="12"/>
      <c r="P12" s="11" t="s">
        <v>26</v>
      </c>
      <c r="Q12" s="11" t="s">
        <v>33</v>
      </c>
      <c r="R12" s="13" t="s">
        <v>55</v>
      </c>
      <c r="S12" s="12"/>
      <c r="T12" s="12" t="str">
        <f>"497,5"</f>
        <v>497,5</v>
      </c>
      <c r="U12" s="12" t="str">
        <f>"309,1465"</f>
        <v>309,1465</v>
      </c>
      <c r="V12" s="10" t="s">
        <v>222</v>
      </c>
    </row>
    <row r="13" ht="12.75">
      <c r="B13" s="5" t="s">
        <v>12</v>
      </c>
    </row>
    <row r="14" spans="1:21" ht="15">
      <c r="A14" s="84" t="s">
        <v>47</v>
      </c>
      <c r="B14" s="8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2" ht="12.75">
      <c r="A15" s="12" t="s">
        <v>43</v>
      </c>
      <c r="B15" s="10" t="s">
        <v>223</v>
      </c>
      <c r="C15" s="10" t="s">
        <v>224</v>
      </c>
      <c r="D15" s="10" t="s">
        <v>225</v>
      </c>
      <c r="E15" s="10" t="str">
        <f>"0,6036"</f>
        <v>0,6036</v>
      </c>
      <c r="F15" s="10" t="s">
        <v>583</v>
      </c>
      <c r="G15" s="10" t="s">
        <v>57</v>
      </c>
      <c r="H15" s="11" t="s">
        <v>78</v>
      </c>
      <c r="I15" s="11" t="s">
        <v>79</v>
      </c>
      <c r="J15" s="13" t="s">
        <v>64</v>
      </c>
      <c r="K15" s="12"/>
      <c r="L15" s="11" t="s">
        <v>101</v>
      </c>
      <c r="M15" s="11" t="s">
        <v>102</v>
      </c>
      <c r="N15" s="11" t="s">
        <v>171</v>
      </c>
      <c r="O15" s="12"/>
      <c r="P15" s="11" t="s">
        <v>90</v>
      </c>
      <c r="Q15" s="11" t="s">
        <v>226</v>
      </c>
      <c r="R15" s="13" t="s">
        <v>227</v>
      </c>
      <c r="S15" s="12"/>
      <c r="T15" s="12" t="str">
        <f>"632,5"</f>
        <v>632,5</v>
      </c>
      <c r="U15" s="12" t="str">
        <f>"381,7770"</f>
        <v>381,7770</v>
      </c>
      <c r="V15" s="10" t="s">
        <v>228</v>
      </c>
    </row>
    <row r="16" ht="12.75">
      <c r="B16" s="5" t="s">
        <v>12</v>
      </c>
    </row>
    <row r="17" spans="1:21" ht="15">
      <c r="A17" s="84" t="s">
        <v>56</v>
      </c>
      <c r="B17" s="84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</row>
    <row r="18" spans="1:22" ht="12.75">
      <c r="A18" s="12" t="s">
        <v>43</v>
      </c>
      <c r="B18" s="10" t="s">
        <v>229</v>
      </c>
      <c r="C18" s="10" t="s">
        <v>230</v>
      </c>
      <c r="D18" s="10" t="s">
        <v>231</v>
      </c>
      <c r="E18" s="10" t="str">
        <f>"0,5591"</f>
        <v>0,5591</v>
      </c>
      <c r="F18" s="10" t="s">
        <v>583</v>
      </c>
      <c r="G18" s="10" t="s">
        <v>75</v>
      </c>
      <c r="H18" s="11" t="s">
        <v>77</v>
      </c>
      <c r="I18" s="11" t="s">
        <v>33</v>
      </c>
      <c r="J18" s="11" t="s">
        <v>78</v>
      </c>
      <c r="K18" s="12"/>
      <c r="L18" s="11" t="s">
        <v>102</v>
      </c>
      <c r="M18" s="11" t="s">
        <v>232</v>
      </c>
      <c r="N18" s="11" t="s">
        <v>157</v>
      </c>
      <c r="O18" s="12"/>
      <c r="P18" s="11" t="s">
        <v>33</v>
      </c>
      <c r="Q18" s="11" t="s">
        <v>64</v>
      </c>
      <c r="R18" s="11" t="s">
        <v>109</v>
      </c>
      <c r="S18" s="12"/>
      <c r="T18" s="12" t="str">
        <f>"600,0"</f>
        <v>600,0</v>
      </c>
      <c r="U18" s="12" t="str">
        <f>"335,4600"</f>
        <v>335,4600</v>
      </c>
      <c r="V18" s="10" t="s">
        <v>233</v>
      </c>
    </row>
    <row r="19" ht="12.75">
      <c r="B19" s="5" t="s">
        <v>12</v>
      </c>
    </row>
    <row r="20" spans="2:6" ht="15">
      <c r="B20" s="5" t="s">
        <v>12</v>
      </c>
      <c r="F20" s="7"/>
    </row>
    <row r="21" spans="2:6" ht="15">
      <c r="B21" s="5" t="s">
        <v>12</v>
      </c>
      <c r="F21" s="7"/>
    </row>
    <row r="22" spans="2:6" ht="15">
      <c r="B22" s="5" t="s">
        <v>12</v>
      </c>
      <c r="F22" s="7"/>
    </row>
    <row r="23" spans="2:6" ht="15">
      <c r="B23" s="5" t="s">
        <v>12</v>
      </c>
      <c r="F23" s="7"/>
    </row>
    <row r="24" spans="2:6" ht="15">
      <c r="B24" s="5" t="s">
        <v>12</v>
      </c>
      <c r="F24" s="7"/>
    </row>
    <row r="25" spans="2:6" ht="15">
      <c r="B25" s="5" t="s">
        <v>12</v>
      </c>
      <c r="F25" s="7"/>
    </row>
    <row r="26" spans="2:6" ht="15">
      <c r="B26" s="5" t="s">
        <v>12</v>
      </c>
      <c r="F26" s="7"/>
    </row>
    <row r="27" ht="12.75">
      <c r="B27" s="5" t="s">
        <v>12</v>
      </c>
    </row>
    <row r="28" spans="2:4" ht="18">
      <c r="B28" s="5" t="s">
        <v>12</v>
      </c>
      <c r="C28" s="8"/>
      <c r="D28" s="8"/>
    </row>
    <row r="29" spans="2:4" ht="15">
      <c r="B29" s="5" t="s">
        <v>12</v>
      </c>
      <c r="C29" s="14"/>
      <c r="D29" s="14"/>
    </row>
    <row r="30" spans="2:4" ht="14.25">
      <c r="B30" s="5" t="s">
        <v>12</v>
      </c>
      <c r="C30" s="15"/>
      <c r="D30" s="15"/>
    </row>
    <row r="31" spans="2:7" ht="15">
      <c r="B31" s="5" t="s">
        <v>12</v>
      </c>
      <c r="C31" s="1"/>
      <c r="D31" s="1"/>
      <c r="E31" s="1"/>
      <c r="F31" s="1"/>
      <c r="G31" s="1"/>
    </row>
    <row r="32" spans="2:7" ht="12.75">
      <c r="B32" s="5" t="s">
        <v>12</v>
      </c>
      <c r="E32" s="6"/>
      <c r="F32" s="6"/>
      <c r="G32" s="6"/>
    </row>
    <row r="33" ht="12.75">
      <c r="B33" s="5" t="s">
        <v>12</v>
      </c>
    </row>
    <row r="34" ht="12.75">
      <c r="B34" s="5" t="s">
        <v>12</v>
      </c>
    </row>
    <row r="35" spans="2:4" ht="15">
      <c r="B35" s="5" t="s">
        <v>12</v>
      </c>
      <c r="C35" s="14"/>
      <c r="D35" s="14"/>
    </row>
    <row r="36" spans="2:4" ht="14.25">
      <c r="B36" s="5" t="s">
        <v>12</v>
      </c>
      <c r="C36" s="15"/>
      <c r="D36" s="15"/>
    </row>
    <row r="37" spans="2:7" ht="15">
      <c r="B37" s="5" t="s">
        <v>12</v>
      </c>
      <c r="D37" s="1"/>
      <c r="E37" s="1"/>
      <c r="F37" s="1"/>
      <c r="G37" s="1"/>
    </row>
    <row r="38" spans="2:7" ht="12.75">
      <c r="B38" s="5" t="s">
        <v>12</v>
      </c>
      <c r="E38" s="6"/>
      <c r="F38" s="6"/>
      <c r="G38" s="6"/>
    </row>
    <row r="39" ht="12.75">
      <c r="B39" s="5" t="s">
        <v>12</v>
      </c>
    </row>
    <row r="40" spans="2:4" ht="14.25">
      <c r="B40" s="5" t="s">
        <v>12</v>
      </c>
      <c r="C40" s="15"/>
      <c r="D40" s="15"/>
    </row>
    <row r="41" spans="2:7" ht="15">
      <c r="B41" s="5" t="s">
        <v>12</v>
      </c>
      <c r="C41" s="1"/>
      <c r="D41" s="1"/>
      <c r="E41" s="1"/>
      <c r="F41" s="1"/>
      <c r="G41" s="1"/>
    </row>
    <row r="42" spans="2:7" ht="12.75">
      <c r="B42" s="5" t="s">
        <v>12</v>
      </c>
      <c r="E42" s="6"/>
      <c r="F42" s="6"/>
      <c r="G42" s="6"/>
    </row>
    <row r="43" spans="2:7" ht="12.75">
      <c r="B43" s="5" t="s">
        <v>12</v>
      </c>
      <c r="E43" s="6"/>
      <c r="F43" s="6"/>
      <c r="G43" s="6"/>
    </row>
    <row r="44" spans="2:7" ht="12.75">
      <c r="B44" s="5" t="s">
        <v>12</v>
      </c>
      <c r="E44" s="6"/>
      <c r="F44" s="6"/>
      <c r="G44" s="6"/>
    </row>
    <row r="45" ht="12.75">
      <c r="B45" s="5" t="s">
        <v>12</v>
      </c>
    </row>
  </sheetData>
  <sheetProtection/>
  <mergeCells count="19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14:U14"/>
    <mergeCell ref="A17:U17"/>
    <mergeCell ref="B3:B4"/>
    <mergeCell ref="T3:T4"/>
    <mergeCell ref="U3:U4"/>
    <mergeCell ref="V3:V4"/>
    <mergeCell ref="A5:U5"/>
    <mergeCell ref="A8:U8"/>
    <mergeCell ref="A11:U1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C1">
      <selection activeCell="N9" sqref="N9"/>
    </sheetView>
  </sheetViews>
  <sheetFormatPr defaultColWidth="8.75390625" defaultRowHeight="12.75"/>
  <cols>
    <col min="1" max="1" width="7.375" style="5" bestFit="1" customWidth="1"/>
    <col min="2" max="2" width="19.37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256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257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9" t="s">
        <v>43</v>
      </c>
      <c r="B6" s="17" t="s">
        <v>258</v>
      </c>
      <c r="C6" s="17" t="s">
        <v>259</v>
      </c>
      <c r="D6" s="17" t="s">
        <v>260</v>
      </c>
      <c r="E6" s="17" t="str">
        <f>"0,5377"</f>
        <v>0,5377</v>
      </c>
      <c r="F6" s="17" t="s">
        <v>23</v>
      </c>
      <c r="G6" s="17" t="s">
        <v>57</v>
      </c>
      <c r="H6" s="18" t="s">
        <v>67</v>
      </c>
      <c r="I6" s="18" t="s">
        <v>261</v>
      </c>
      <c r="J6" s="20" t="s">
        <v>73</v>
      </c>
      <c r="K6" s="19"/>
      <c r="L6" s="19" t="str">
        <f>"345,0"</f>
        <v>345,0</v>
      </c>
      <c r="M6" s="19" t="str">
        <f>"185,5065"</f>
        <v>185,5065</v>
      </c>
      <c r="N6" s="17" t="s">
        <v>582</v>
      </c>
    </row>
    <row r="7" spans="1:14" ht="12.75">
      <c r="A7" s="24" t="s">
        <v>43</v>
      </c>
      <c r="B7" s="21" t="s">
        <v>262</v>
      </c>
      <c r="C7" s="21" t="s">
        <v>263</v>
      </c>
      <c r="D7" s="21" t="s">
        <v>264</v>
      </c>
      <c r="E7" s="21" t="str">
        <f>"0,5531"</f>
        <v>0,5531</v>
      </c>
      <c r="F7" s="21" t="s">
        <v>23</v>
      </c>
      <c r="G7" s="21" t="s">
        <v>125</v>
      </c>
      <c r="H7" s="22" t="s">
        <v>64</v>
      </c>
      <c r="I7" s="22" t="s">
        <v>66</v>
      </c>
      <c r="J7" s="22" t="s">
        <v>45</v>
      </c>
      <c r="K7" s="24"/>
      <c r="L7" s="24" t="str">
        <f>"260,0"</f>
        <v>260,0</v>
      </c>
      <c r="M7" s="24" t="str">
        <f>"157,0361"</f>
        <v>157,0361</v>
      </c>
      <c r="N7" s="21" t="s">
        <v>582</v>
      </c>
    </row>
    <row r="8" ht="12.75">
      <c r="B8" s="5" t="s">
        <v>12</v>
      </c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spans="2:6" ht="15">
      <c r="B15" s="5" t="s">
        <v>12</v>
      </c>
      <c r="F15" s="7"/>
    </row>
    <row r="16" ht="12.75">
      <c r="B16" s="5" t="s">
        <v>12</v>
      </c>
    </row>
    <row r="17" spans="2:4" ht="18">
      <c r="B17" s="5" t="s">
        <v>12</v>
      </c>
      <c r="C17" s="8"/>
      <c r="D17" s="8"/>
    </row>
    <row r="18" spans="2:4" ht="15">
      <c r="B18" s="5" t="s">
        <v>12</v>
      </c>
      <c r="C18" s="14"/>
      <c r="D18" s="14"/>
    </row>
    <row r="19" spans="2:4" ht="14.25">
      <c r="B19" s="5" t="s">
        <v>12</v>
      </c>
      <c r="C19" s="15"/>
      <c r="D19" s="15"/>
    </row>
    <row r="20" spans="2:7" ht="15">
      <c r="B20" s="5" t="s">
        <v>12</v>
      </c>
      <c r="C20" s="1"/>
      <c r="D20" s="1"/>
      <c r="E20" s="1"/>
      <c r="F20" s="1"/>
      <c r="G20" s="1"/>
    </row>
    <row r="21" spans="2:7" ht="12.75">
      <c r="B21" s="5" t="s">
        <v>12</v>
      </c>
      <c r="E21" s="6"/>
      <c r="F21" s="6"/>
      <c r="G21" s="6"/>
    </row>
    <row r="22" ht="12.75">
      <c r="B22" s="5" t="s">
        <v>12</v>
      </c>
    </row>
    <row r="23" spans="2:4" ht="14.25">
      <c r="B23" s="5" t="s">
        <v>12</v>
      </c>
      <c r="C23" s="15"/>
      <c r="D23" s="15"/>
    </row>
    <row r="24" spans="2:7" ht="15">
      <c r="B24" s="5" t="s">
        <v>12</v>
      </c>
      <c r="C24" s="1"/>
      <c r="D24" s="1"/>
      <c r="E24" s="1"/>
      <c r="F24" s="1"/>
      <c r="G24" s="1"/>
    </row>
    <row r="25" spans="2:7" ht="12.75">
      <c r="B25" s="5" t="s">
        <v>12</v>
      </c>
      <c r="E25" s="6"/>
      <c r="F25" s="6"/>
      <c r="G25" s="6"/>
    </row>
    <row r="26" ht="12.75">
      <c r="B26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2" sqref="G12"/>
    </sheetView>
  </sheetViews>
  <sheetFormatPr defaultColWidth="8.75390625" defaultRowHeight="12.75"/>
  <cols>
    <col min="1" max="1" width="7.375" style="5" bestFit="1" customWidth="1"/>
    <col min="2" max="2" width="18.62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9.125" style="5" bestFit="1" customWidth="1"/>
    <col min="8" max="11" width="5.62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251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62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252</v>
      </c>
      <c r="C6" s="10" t="s">
        <v>253</v>
      </c>
      <c r="D6" s="10" t="s">
        <v>254</v>
      </c>
      <c r="E6" s="10" t="str">
        <f>"0,5318"</f>
        <v>0,5318</v>
      </c>
      <c r="F6" s="10" t="s">
        <v>23</v>
      </c>
      <c r="G6" s="10" t="s">
        <v>57</v>
      </c>
      <c r="H6" s="11" t="s">
        <v>58</v>
      </c>
      <c r="I6" s="11" t="s">
        <v>76</v>
      </c>
      <c r="J6" s="11" t="s">
        <v>63</v>
      </c>
      <c r="K6" s="13" t="s">
        <v>255</v>
      </c>
      <c r="L6" s="12" t="str">
        <f>"340,0"</f>
        <v>340,0</v>
      </c>
      <c r="M6" s="12" t="str">
        <f>"180,8120"</f>
        <v>180,8120</v>
      </c>
      <c r="N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I11" sqref="I11"/>
    </sheetView>
  </sheetViews>
  <sheetFormatPr defaultColWidth="8.75390625" defaultRowHeight="12.75"/>
  <cols>
    <col min="1" max="1" width="7.375" style="5" bestFit="1" customWidth="1"/>
    <col min="2" max="2" width="13.7539062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17.25390625" style="5" bestFit="1" customWidth="1"/>
    <col min="8" max="9" width="5.625" style="6" bestFit="1" customWidth="1"/>
    <col min="10" max="10" width="2.1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249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62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105</v>
      </c>
      <c r="C6" s="10" t="s">
        <v>106</v>
      </c>
      <c r="D6" s="10" t="s">
        <v>107</v>
      </c>
      <c r="E6" s="10" t="str">
        <f>"0,5292"</f>
        <v>0,5292</v>
      </c>
      <c r="F6" s="10" t="s">
        <v>23</v>
      </c>
      <c r="G6" s="10" t="s">
        <v>52</v>
      </c>
      <c r="H6" s="11" t="s">
        <v>33</v>
      </c>
      <c r="I6" s="11" t="s">
        <v>250</v>
      </c>
      <c r="J6" s="12"/>
      <c r="K6" s="12"/>
      <c r="L6" s="12" t="str">
        <f>"217,5"</f>
        <v>217,5</v>
      </c>
      <c r="M6" s="12" t="str">
        <f>"115,1010"</f>
        <v>115,1010</v>
      </c>
      <c r="N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M15" sqref="M15"/>
    </sheetView>
  </sheetViews>
  <sheetFormatPr defaultColWidth="8.75390625" defaultRowHeight="12.75"/>
  <cols>
    <col min="1" max="1" width="7.375" style="5" bestFit="1" customWidth="1"/>
    <col min="2" max="2" width="18.87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2.37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236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47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237</v>
      </c>
      <c r="C6" s="10" t="s">
        <v>238</v>
      </c>
      <c r="D6" s="10" t="s">
        <v>239</v>
      </c>
      <c r="E6" s="10" t="str">
        <f>"0,5873"</f>
        <v>0,5873</v>
      </c>
      <c r="F6" s="10" t="s">
        <v>23</v>
      </c>
      <c r="G6" s="10" t="s">
        <v>240</v>
      </c>
      <c r="H6" s="11" t="s">
        <v>161</v>
      </c>
      <c r="I6" s="11" t="s">
        <v>180</v>
      </c>
      <c r="J6" s="13" t="s">
        <v>145</v>
      </c>
      <c r="K6" s="12"/>
      <c r="L6" s="12" t="str">
        <f>"112,5"</f>
        <v>112,5</v>
      </c>
      <c r="M6" s="12" t="str">
        <f>"134,1246"</f>
        <v>134,1246</v>
      </c>
      <c r="N6" s="10" t="s">
        <v>582</v>
      </c>
    </row>
    <row r="7" ht="12.75">
      <c r="B7" s="5" t="s">
        <v>12</v>
      </c>
    </row>
    <row r="8" spans="1:13" ht="15">
      <c r="A8" s="84" t="s">
        <v>56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12" t="s">
        <v>43</v>
      </c>
      <c r="B9" s="10" t="s">
        <v>241</v>
      </c>
      <c r="C9" s="10" t="s">
        <v>242</v>
      </c>
      <c r="D9" s="10" t="s">
        <v>243</v>
      </c>
      <c r="E9" s="10" t="str">
        <f>"0,5669"</f>
        <v>0,5669</v>
      </c>
      <c r="F9" s="10" t="s">
        <v>23</v>
      </c>
      <c r="G9" s="10" t="s">
        <v>170</v>
      </c>
      <c r="H9" s="11" t="s">
        <v>101</v>
      </c>
      <c r="I9" s="13" t="s">
        <v>102</v>
      </c>
      <c r="J9" s="11" t="s">
        <v>102</v>
      </c>
      <c r="K9" s="12"/>
      <c r="L9" s="12" t="str">
        <f>"150,0"</f>
        <v>150,0</v>
      </c>
      <c r="M9" s="12" t="str">
        <f>"85,0350"</f>
        <v>85,0350</v>
      </c>
      <c r="N9" s="10" t="s">
        <v>582</v>
      </c>
    </row>
    <row r="10" ht="12.75">
      <c r="B10" s="5" t="s">
        <v>12</v>
      </c>
    </row>
    <row r="11" spans="1:13" ht="15">
      <c r="A11" s="84" t="s">
        <v>62</v>
      </c>
      <c r="B11" s="8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12.75">
      <c r="A12" s="10" t="s">
        <v>83</v>
      </c>
      <c r="B12" s="10" t="s">
        <v>244</v>
      </c>
      <c r="C12" s="10" t="s">
        <v>245</v>
      </c>
      <c r="D12" s="10" t="s">
        <v>246</v>
      </c>
      <c r="E12" s="10" t="str">
        <f>"0,5293"</f>
        <v>0,5293</v>
      </c>
      <c r="F12" s="10" t="s">
        <v>23</v>
      </c>
      <c r="G12" s="10" t="s">
        <v>247</v>
      </c>
      <c r="H12" s="12" t="s">
        <v>212</v>
      </c>
      <c r="I12" s="12"/>
      <c r="J12" s="12"/>
      <c r="K12" s="12"/>
      <c r="L12" s="12" t="str">
        <f>"0.00"</f>
        <v>0.00</v>
      </c>
      <c r="M12" s="12" t="str">
        <f>"0,0000"</f>
        <v>0,0000</v>
      </c>
      <c r="N12" s="10" t="s">
        <v>582</v>
      </c>
    </row>
    <row r="13" ht="12.75">
      <c r="B13" s="5" t="s">
        <v>12</v>
      </c>
    </row>
    <row r="14" spans="2:6" ht="15">
      <c r="B14" s="5" t="s">
        <v>12</v>
      </c>
      <c r="F14" s="7"/>
    </row>
    <row r="15" spans="2:6" ht="15">
      <c r="B15" s="5" t="s">
        <v>12</v>
      </c>
      <c r="F15" s="7"/>
    </row>
    <row r="16" spans="2:6" ht="15">
      <c r="B16" s="5" t="s">
        <v>12</v>
      </c>
      <c r="F16" s="7"/>
    </row>
    <row r="17" spans="2:6" ht="15">
      <c r="B17" s="5" t="s">
        <v>12</v>
      </c>
      <c r="F17" s="7"/>
    </row>
    <row r="18" spans="2:6" ht="15">
      <c r="B18" s="5" t="s">
        <v>12</v>
      </c>
      <c r="F18" s="7"/>
    </row>
    <row r="19" spans="2:6" ht="15">
      <c r="B19" s="5" t="s">
        <v>12</v>
      </c>
      <c r="F19" s="7"/>
    </row>
    <row r="20" spans="2:6" ht="15">
      <c r="B20" s="5" t="s">
        <v>12</v>
      </c>
      <c r="F20" s="7"/>
    </row>
    <row r="21" ht="12.75">
      <c r="B21" s="5" t="s">
        <v>12</v>
      </c>
    </row>
    <row r="22" spans="2:4" ht="18">
      <c r="B22" s="5" t="s">
        <v>12</v>
      </c>
      <c r="C22" s="8"/>
      <c r="D22" s="8"/>
    </row>
    <row r="23" spans="2:4" ht="15">
      <c r="B23" s="5" t="s">
        <v>12</v>
      </c>
      <c r="C23" s="14"/>
      <c r="D23" s="14"/>
    </row>
    <row r="24" spans="2:4" ht="14.25">
      <c r="B24" s="5" t="s">
        <v>12</v>
      </c>
      <c r="C24" s="15"/>
      <c r="D24" s="15"/>
    </row>
    <row r="25" spans="2:7" ht="15">
      <c r="B25" s="5" t="s">
        <v>12</v>
      </c>
      <c r="C25" s="1"/>
      <c r="D25" s="1"/>
      <c r="E25" s="1"/>
      <c r="F25" s="1"/>
      <c r="G25" s="1"/>
    </row>
    <row r="26" spans="2:7" ht="12.75">
      <c r="B26" s="5" t="s">
        <v>12</v>
      </c>
      <c r="E26" s="6"/>
      <c r="F26" s="6"/>
      <c r="G26" s="6"/>
    </row>
    <row r="27" ht="12.75">
      <c r="B27" s="5" t="s">
        <v>12</v>
      </c>
    </row>
    <row r="28" spans="2:4" ht="14.25">
      <c r="B28" s="5" t="s">
        <v>12</v>
      </c>
      <c r="C28" s="15"/>
      <c r="D28" s="15"/>
    </row>
    <row r="29" spans="2:7" ht="15">
      <c r="B29" s="5" t="s">
        <v>12</v>
      </c>
      <c r="C29" s="1"/>
      <c r="D29" s="1"/>
      <c r="E29" s="1"/>
      <c r="F29" s="1"/>
      <c r="G29" s="1"/>
    </row>
    <row r="30" spans="2:7" ht="12.75">
      <c r="B30" s="5" t="s">
        <v>12</v>
      </c>
      <c r="E30" s="6"/>
      <c r="F30" s="6"/>
      <c r="G30" s="6"/>
    </row>
    <row r="31" ht="12.75">
      <c r="B31" s="5" t="s">
        <v>12</v>
      </c>
    </row>
  </sheetData>
  <sheetProtection/>
  <mergeCells count="15">
    <mergeCell ref="L3:L4"/>
    <mergeCell ref="M3:M4"/>
    <mergeCell ref="N3:N4"/>
    <mergeCell ref="A5:M5"/>
    <mergeCell ref="A8:M8"/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16" sqref="G16"/>
    </sheetView>
  </sheetViews>
  <sheetFormatPr defaultColWidth="8.75390625" defaultRowHeight="12.75"/>
  <cols>
    <col min="1" max="1" width="7.375" style="30" bestFit="1" customWidth="1"/>
    <col min="2" max="2" width="15.375" style="30" bestFit="1" customWidth="1"/>
    <col min="3" max="3" width="27.75390625" style="30" bestFit="1" customWidth="1"/>
    <col min="4" max="4" width="21.375" style="30" bestFit="1" customWidth="1"/>
    <col min="5" max="5" width="10.75390625" style="30" bestFit="1" customWidth="1"/>
    <col min="6" max="6" width="22.75390625" style="30" bestFit="1" customWidth="1"/>
    <col min="7" max="7" width="29.00390625" style="30" bestFit="1" customWidth="1"/>
    <col min="8" max="8" width="5.00390625" style="31" bestFit="1" customWidth="1"/>
    <col min="9" max="9" width="10.375" style="32" bestFit="1" customWidth="1"/>
    <col min="10" max="10" width="8.875" style="31" bestFit="1" customWidth="1"/>
    <col min="11" max="11" width="9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489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488</v>
      </c>
      <c r="F3" s="70" t="s">
        <v>4</v>
      </c>
      <c r="G3" s="70" t="s">
        <v>8</v>
      </c>
      <c r="H3" s="70" t="s">
        <v>487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150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38" t="s">
        <v>43</v>
      </c>
      <c r="B6" s="37" t="s">
        <v>481</v>
      </c>
      <c r="C6" s="37" t="s">
        <v>483</v>
      </c>
      <c r="D6" s="37" t="s">
        <v>174</v>
      </c>
      <c r="E6" s="37" t="str">
        <f>"0,8020"</f>
        <v>0,8020</v>
      </c>
      <c r="F6" s="37" t="s">
        <v>23</v>
      </c>
      <c r="G6" s="37" t="s">
        <v>482</v>
      </c>
      <c r="H6" s="11" t="s">
        <v>277</v>
      </c>
      <c r="I6" s="39" t="s">
        <v>301</v>
      </c>
      <c r="J6" s="38" t="str">
        <f>"2250,0"</f>
        <v>2250,0</v>
      </c>
      <c r="K6" s="38" t="str">
        <f>"1804,5000"</f>
        <v>1804,5000</v>
      </c>
      <c r="L6" s="37" t="s">
        <v>582</v>
      </c>
    </row>
    <row r="7" ht="12.75">
      <c r="B7" s="30" t="s">
        <v>12</v>
      </c>
    </row>
    <row r="8" spans="2:9" ht="15">
      <c r="B8" s="56"/>
      <c r="C8" s="56"/>
      <c r="D8" s="56"/>
      <c r="E8" s="56"/>
      <c r="F8" s="57"/>
      <c r="G8" s="56"/>
      <c r="H8" s="58"/>
      <c r="I8" s="59"/>
    </row>
    <row r="9" spans="2:9" ht="15">
      <c r="B9" s="56"/>
      <c r="C9" s="56"/>
      <c r="D9" s="56"/>
      <c r="E9" s="56"/>
      <c r="F9" s="57"/>
      <c r="G9" s="56"/>
      <c r="H9" s="58"/>
      <c r="I9" s="59"/>
    </row>
    <row r="10" spans="2:9" ht="15">
      <c r="B10" s="56"/>
      <c r="C10" s="56"/>
      <c r="D10" s="56"/>
      <c r="E10" s="56"/>
      <c r="F10" s="57"/>
      <c r="G10" s="56"/>
      <c r="H10" s="58"/>
      <c r="I10" s="59"/>
    </row>
    <row r="11" spans="2:9" ht="15">
      <c r="B11" s="56"/>
      <c r="C11" s="56"/>
      <c r="D11" s="56"/>
      <c r="E11" s="56"/>
      <c r="F11" s="57"/>
      <c r="G11" s="56"/>
      <c r="H11" s="58"/>
      <c r="I11" s="59"/>
    </row>
    <row r="12" spans="2:9" ht="15">
      <c r="B12" s="56"/>
      <c r="C12" s="56"/>
      <c r="D12" s="56"/>
      <c r="E12" s="56"/>
      <c r="F12" s="57"/>
      <c r="G12" s="56"/>
      <c r="H12" s="58"/>
      <c r="I12" s="59"/>
    </row>
    <row r="13" spans="2:9" ht="15">
      <c r="B13" s="56"/>
      <c r="C13" s="56"/>
      <c r="D13" s="56"/>
      <c r="E13" s="56"/>
      <c r="F13" s="57"/>
      <c r="G13" s="56"/>
      <c r="H13" s="58"/>
      <c r="I13" s="59"/>
    </row>
    <row r="14" spans="2:9" ht="15">
      <c r="B14" s="56"/>
      <c r="C14" s="56"/>
      <c r="D14" s="56"/>
      <c r="E14" s="56"/>
      <c r="F14" s="57"/>
      <c r="G14" s="56"/>
      <c r="H14" s="58"/>
      <c r="I14" s="59"/>
    </row>
    <row r="15" spans="2:9" ht="12.75">
      <c r="B15" s="56"/>
      <c r="C15" s="56"/>
      <c r="D15" s="56"/>
      <c r="E15" s="56"/>
      <c r="F15" s="56"/>
      <c r="G15" s="56"/>
      <c r="H15" s="58"/>
      <c r="I15" s="59"/>
    </row>
    <row r="16" spans="2:9" ht="18">
      <c r="B16" s="56"/>
      <c r="C16" s="60"/>
      <c r="D16" s="60"/>
      <c r="E16" s="56"/>
      <c r="F16" s="56"/>
      <c r="G16" s="56"/>
      <c r="H16" s="58"/>
      <c r="I16" s="59"/>
    </row>
    <row r="17" spans="2:9" ht="15">
      <c r="B17" s="56"/>
      <c r="C17" s="61"/>
      <c r="D17" s="61"/>
      <c r="E17" s="56"/>
      <c r="F17" s="56"/>
      <c r="G17" s="56"/>
      <c r="H17" s="58"/>
      <c r="I17" s="59"/>
    </row>
    <row r="18" spans="2:9" ht="14.25">
      <c r="B18" s="56"/>
      <c r="C18" s="62"/>
      <c r="D18" s="62"/>
      <c r="E18" s="56"/>
      <c r="F18" s="56"/>
      <c r="G18" s="56"/>
      <c r="H18" s="58"/>
      <c r="I18" s="59"/>
    </row>
    <row r="19" spans="2:9" ht="15">
      <c r="B19" s="56"/>
      <c r="C19" s="63"/>
      <c r="D19" s="63"/>
      <c r="E19" s="63"/>
      <c r="F19" s="63"/>
      <c r="G19" s="63"/>
      <c r="H19" s="58"/>
      <c r="I19" s="59"/>
    </row>
    <row r="20" spans="2:9" ht="12.75">
      <c r="B20" s="56"/>
      <c r="C20" s="56"/>
      <c r="D20" s="56"/>
      <c r="E20" s="58"/>
      <c r="F20" s="58"/>
      <c r="G20" s="58"/>
      <c r="H20" s="58"/>
      <c r="I20" s="59"/>
    </row>
    <row r="21" spans="2:9" ht="12.75">
      <c r="B21" s="56"/>
      <c r="C21" s="56"/>
      <c r="D21" s="56"/>
      <c r="E21" s="56"/>
      <c r="F21" s="56"/>
      <c r="G21" s="56"/>
      <c r="H21" s="58"/>
      <c r="I21" s="59"/>
    </row>
    <row r="22" spans="2:9" ht="12.75">
      <c r="B22" s="56"/>
      <c r="C22" s="56"/>
      <c r="D22" s="56"/>
      <c r="E22" s="56"/>
      <c r="F22" s="56"/>
      <c r="G22" s="56"/>
      <c r="H22" s="58"/>
      <c r="I22" s="59"/>
    </row>
  </sheetData>
  <sheetProtection/>
  <mergeCells count="13">
    <mergeCell ref="H3:I3"/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B1">
      <selection activeCell="J15" sqref="J15"/>
    </sheetView>
  </sheetViews>
  <sheetFormatPr defaultColWidth="8.75390625" defaultRowHeight="12.75"/>
  <cols>
    <col min="1" max="1" width="7.375" style="30" bestFit="1" customWidth="1"/>
    <col min="2" max="2" width="16.125" style="30" bestFit="1" customWidth="1"/>
    <col min="3" max="3" width="26.25390625" style="30" bestFit="1" customWidth="1"/>
    <col min="4" max="4" width="21.375" style="30" bestFit="1" customWidth="1"/>
    <col min="5" max="5" width="10.75390625" style="30" bestFit="1" customWidth="1"/>
    <col min="6" max="6" width="22.75390625" style="30" bestFit="1" customWidth="1"/>
    <col min="7" max="7" width="38.25390625" style="30" bestFit="1" customWidth="1"/>
    <col min="8" max="8" width="5.625" style="31" bestFit="1" customWidth="1"/>
    <col min="9" max="9" width="10.375" style="32" bestFit="1" customWidth="1"/>
    <col min="10" max="10" width="8.875" style="31" bestFit="1" customWidth="1"/>
    <col min="11" max="11" width="9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497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488</v>
      </c>
      <c r="F3" s="70" t="s">
        <v>4</v>
      </c>
      <c r="G3" s="70" t="s">
        <v>8</v>
      </c>
      <c r="H3" s="70" t="s">
        <v>487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37" t="s">
        <v>43</v>
      </c>
      <c r="B6" s="37" t="s">
        <v>417</v>
      </c>
      <c r="C6" s="37" t="s">
        <v>418</v>
      </c>
      <c r="D6" s="37" t="s">
        <v>373</v>
      </c>
      <c r="E6" s="37" t="str">
        <f>"0,7366"</f>
        <v>0,7366</v>
      </c>
      <c r="F6" s="37" t="s">
        <v>23</v>
      </c>
      <c r="G6" s="37" t="s">
        <v>221</v>
      </c>
      <c r="H6" s="11" t="s">
        <v>496</v>
      </c>
      <c r="I6" s="39" t="s">
        <v>495</v>
      </c>
      <c r="J6" s="38" t="str">
        <f>"2275,0"</f>
        <v>2275,0</v>
      </c>
      <c r="K6" s="38" t="str">
        <f>"1675,7650"</f>
        <v>1675,7650</v>
      </c>
      <c r="L6" s="37" t="s">
        <v>582</v>
      </c>
    </row>
    <row r="7" ht="12.75">
      <c r="B7" s="30" t="s">
        <v>12</v>
      </c>
    </row>
    <row r="8" spans="1:11" ht="15">
      <c r="A8" s="66" t="s">
        <v>257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2" ht="12.75">
      <c r="A9" s="38" t="s">
        <v>43</v>
      </c>
      <c r="B9" s="37" t="s">
        <v>490</v>
      </c>
      <c r="C9" s="37" t="s">
        <v>494</v>
      </c>
      <c r="D9" s="37" t="s">
        <v>493</v>
      </c>
      <c r="E9" s="37" t="str">
        <f>"0,6873"</f>
        <v>0,6873</v>
      </c>
      <c r="F9" s="37" t="s">
        <v>23</v>
      </c>
      <c r="G9" s="37" t="s">
        <v>492</v>
      </c>
      <c r="H9" s="11" t="s">
        <v>414</v>
      </c>
      <c r="I9" s="39" t="s">
        <v>491</v>
      </c>
      <c r="J9" s="38" t="str">
        <f>"2870,0"</f>
        <v>2870,0</v>
      </c>
      <c r="K9" s="38" t="str">
        <f>"1972,5511"</f>
        <v>1972,5511</v>
      </c>
      <c r="L9" s="37" t="s">
        <v>582</v>
      </c>
    </row>
    <row r="10" ht="12.75">
      <c r="B10" s="30" t="s">
        <v>12</v>
      </c>
    </row>
    <row r="11" spans="2:7" ht="15">
      <c r="B11" s="30" t="s">
        <v>12</v>
      </c>
      <c r="C11" s="56"/>
      <c r="D11" s="56"/>
      <c r="E11" s="56"/>
      <c r="F11" s="57"/>
      <c r="G11" s="56"/>
    </row>
    <row r="12" spans="2:7" ht="15">
      <c r="B12" s="30" t="s">
        <v>12</v>
      </c>
      <c r="C12" s="56"/>
      <c r="D12" s="56"/>
      <c r="E12" s="56"/>
      <c r="F12" s="57"/>
      <c r="G12" s="56"/>
    </row>
    <row r="13" spans="2:7" ht="15">
      <c r="B13" s="30" t="s">
        <v>12</v>
      </c>
      <c r="C13" s="56"/>
      <c r="D13" s="56"/>
      <c r="E13" s="56"/>
      <c r="F13" s="57"/>
      <c r="G13" s="56"/>
    </row>
    <row r="14" spans="2:7" ht="15">
      <c r="B14" s="30" t="s">
        <v>12</v>
      </c>
      <c r="C14" s="56"/>
      <c r="D14" s="56"/>
      <c r="E14" s="56"/>
      <c r="F14" s="57"/>
      <c r="G14" s="56"/>
    </row>
    <row r="15" spans="2:7" ht="15">
      <c r="B15" s="30" t="s">
        <v>12</v>
      </c>
      <c r="C15" s="56"/>
      <c r="D15" s="56"/>
      <c r="E15" s="56"/>
      <c r="F15" s="57"/>
      <c r="G15" s="56"/>
    </row>
    <row r="16" spans="2:7" ht="15">
      <c r="B16" s="30" t="s">
        <v>12</v>
      </c>
      <c r="C16" s="56"/>
      <c r="D16" s="56"/>
      <c r="E16" s="56"/>
      <c r="F16" s="57"/>
      <c r="G16" s="56"/>
    </row>
    <row r="17" spans="2:7" ht="15">
      <c r="B17" s="30" t="s">
        <v>12</v>
      </c>
      <c r="C17" s="56"/>
      <c r="D17" s="56"/>
      <c r="E17" s="56"/>
      <c r="F17" s="57"/>
      <c r="G17" s="56"/>
    </row>
    <row r="18" spans="2:7" ht="12.75">
      <c r="B18" s="30" t="s">
        <v>12</v>
      </c>
      <c r="C18" s="56"/>
      <c r="D18" s="56"/>
      <c r="E18" s="56"/>
      <c r="F18" s="56"/>
      <c r="G18" s="56"/>
    </row>
    <row r="19" spans="2:7" ht="18">
      <c r="B19" s="30" t="s">
        <v>12</v>
      </c>
      <c r="C19" s="60"/>
      <c r="D19" s="60"/>
      <c r="E19" s="56"/>
      <c r="F19" s="56"/>
      <c r="G19" s="56"/>
    </row>
    <row r="20" spans="2:7" ht="15">
      <c r="B20" s="30" t="s">
        <v>12</v>
      </c>
      <c r="C20" s="61"/>
      <c r="D20" s="61"/>
      <c r="E20" s="56"/>
      <c r="F20" s="56"/>
      <c r="G20" s="56"/>
    </row>
    <row r="21" spans="2:7" ht="14.25">
      <c r="B21" s="30" t="s">
        <v>12</v>
      </c>
      <c r="C21" s="62"/>
      <c r="D21" s="62"/>
      <c r="E21" s="56"/>
      <c r="F21" s="56"/>
      <c r="G21" s="56"/>
    </row>
    <row r="22" spans="2:7" ht="15">
      <c r="B22" s="30" t="s">
        <v>12</v>
      </c>
      <c r="C22" s="63"/>
      <c r="D22" s="63"/>
      <c r="E22" s="63"/>
      <c r="F22" s="63"/>
      <c r="G22" s="63"/>
    </row>
    <row r="23" spans="2:7" ht="12.75">
      <c r="B23" s="30" t="s">
        <v>12</v>
      </c>
      <c r="C23" s="56"/>
      <c r="D23" s="56"/>
      <c r="E23" s="58"/>
      <c r="F23" s="58"/>
      <c r="G23" s="58"/>
    </row>
    <row r="24" spans="2:7" ht="12.75">
      <c r="B24" s="30" t="s">
        <v>12</v>
      </c>
      <c r="C24" s="56"/>
      <c r="D24" s="56"/>
      <c r="E24" s="58"/>
      <c r="F24" s="58"/>
      <c r="G24" s="58"/>
    </row>
    <row r="25" spans="2:7" ht="12.75">
      <c r="B25" s="30" t="s">
        <v>12</v>
      </c>
      <c r="C25" s="56"/>
      <c r="D25" s="56"/>
      <c r="E25" s="56"/>
      <c r="F25" s="56"/>
      <c r="G25" s="56"/>
    </row>
    <row r="26" spans="3:7" ht="12.75">
      <c r="C26" s="56"/>
      <c r="D26" s="56"/>
      <c r="E26" s="56"/>
      <c r="F26" s="56"/>
      <c r="G26" s="56"/>
    </row>
  </sheetData>
  <sheetProtection/>
  <mergeCells count="14">
    <mergeCell ref="G3:G4"/>
    <mergeCell ref="H3:I3"/>
    <mergeCell ref="J3:J4"/>
    <mergeCell ref="K3:K4"/>
    <mergeCell ref="L3:L4"/>
    <mergeCell ref="A5:K5"/>
    <mergeCell ref="A8:K8"/>
    <mergeCell ref="B3:B4"/>
    <mergeCell ref="A1:L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C16">
      <selection activeCell="Q20" sqref="Q20"/>
    </sheetView>
  </sheetViews>
  <sheetFormatPr defaultColWidth="8.75390625" defaultRowHeight="12.75"/>
  <cols>
    <col min="1" max="1" width="7.375" style="30" bestFit="1" customWidth="1"/>
    <col min="2" max="2" width="19.87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34.625" style="30" bestFit="1" customWidth="1"/>
    <col min="8" max="10" width="5.625" style="31" bestFit="1" customWidth="1"/>
    <col min="11" max="11" width="4.875" style="31" bestFit="1" customWidth="1"/>
    <col min="12" max="14" width="4.625" style="31" bestFit="1" customWidth="1"/>
    <col min="15" max="15" width="4.875" style="31" bestFit="1" customWidth="1"/>
    <col min="16" max="16" width="7.875" style="31" bestFit="1" customWidth="1"/>
    <col min="17" max="17" width="8.625" style="31" bestFit="1" customWidth="1"/>
    <col min="18" max="18" width="15.125" style="30" bestFit="1" customWidth="1"/>
    <col min="19" max="16384" width="8.75390625" style="29" customWidth="1"/>
  </cols>
  <sheetData>
    <row r="1" spans="1:18" s="43" customFormat="1" ht="28.5" customHeight="1">
      <c r="A1" s="72" t="s">
        <v>519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15</v>
      </c>
      <c r="F3" s="70" t="s">
        <v>4</v>
      </c>
      <c r="G3" s="70" t="s">
        <v>8</v>
      </c>
      <c r="H3" s="70" t="s">
        <v>518</v>
      </c>
      <c r="I3" s="70"/>
      <c r="J3" s="70"/>
      <c r="K3" s="70"/>
      <c r="L3" s="70" t="s">
        <v>517</v>
      </c>
      <c r="M3" s="70"/>
      <c r="N3" s="70"/>
      <c r="O3" s="70"/>
      <c r="P3" s="70" t="s">
        <v>1</v>
      </c>
      <c r="Q3" s="70" t="s">
        <v>3</v>
      </c>
      <c r="R3" s="82" t="s">
        <v>2</v>
      </c>
    </row>
    <row r="4" spans="1:18" s="40" customFormat="1" ht="21" customHeight="1" thickBot="1">
      <c r="A4" s="80"/>
      <c r="B4" s="68"/>
      <c r="C4" s="71"/>
      <c r="D4" s="71"/>
      <c r="E4" s="71"/>
      <c r="F4" s="71"/>
      <c r="G4" s="71"/>
      <c r="H4" s="42">
        <v>1</v>
      </c>
      <c r="I4" s="42">
        <v>2</v>
      </c>
      <c r="J4" s="42">
        <v>3</v>
      </c>
      <c r="K4" s="42" t="s">
        <v>5</v>
      </c>
      <c r="L4" s="42">
        <v>1</v>
      </c>
      <c r="M4" s="42">
        <v>2</v>
      </c>
      <c r="N4" s="42">
        <v>3</v>
      </c>
      <c r="O4" s="42" t="s">
        <v>5</v>
      </c>
      <c r="P4" s="71"/>
      <c r="Q4" s="71"/>
      <c r="R4" s="83"/>
    </row>
    <row r="5" spans="1:17" ht="15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ht="12.75">
      <c r="A6" s="38" t="s">
        <v>43</v>
      </c>
      <c r="B6" s="37" t="s">
        <v>516</v>
      </c>
      <c r="C6" s="37" t="s">
        <v>515</v>
      </c>
      <c r="D6" s="37" t="s">
        <v>514</v>
      </c>
      <c r="E6" s="37" t="str">
        <f>"0,7297"</f>
        <v>0,7297</v>
      </c>
      <c r="F6" s="37" t="s">
        <v>23</v>
      </c>
      <c r="G6" s="37" t="s">
        <v>57</v>
      </c>
      <c r="H6" s="11" t="s">
        <v>128</v>
      </c>
      <c r="I6" s="44" t="s">
        <v>134</v>
      </c>
      <c r="J6" s="11" t="s">
        <v>134</v>
      </c>
      <c r="K6" s="38"/>
      <c r="L6" s="11" t="s">
        <v>126</v>
      </c>
      <c r="M6" s="44" t="s">
        <v>155</v>
      </c>
      <c r="N6" s="44" t="s">
        <v>155</v>
      </c>
      <c r="O6" s="38"/>
      <c r="P6" s="38" t="str">
        <f>"155,0"</f>
        <v>155,0</v>
      </c>
      <c r="Q6" s="38" t="str">
        <f>"113,1035"</f>
        <v>113,1035</v>
      </c>
      <c r="R6" s="37" t="s">
        <v>582</v>
      </c>
    </row>
    <row r="7" ht="12.75">
      <c r="B7" s="30" t="s">
        <v>12</v>
      </c>
    </row>
    <row r="8" spans="1:17" ht="1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8" ht="12.75">
      <c r="A9" s="38" t="s">
        <v>43</v>
      </c>
      <c r="B9" s="37" t="s">
        <v>504</v>
      </c>
      <c r="C9" s="37" t="s">
        <v>513</v>
      </c>
      <c r="D9" s="37" t="s">
        <v>370</v>
      </c>
      <c r="E9" s="37" t="str">
        <f>"0,5885"</f>
        <v>0,5885</v>
      </c>
      <c r="F9" s="37" t="s">
        <v>23</v>
      </c>
      <c r="G9" s="37" t="s">
        <v>125</v>
      </c>
      <c r="H9" s="44" t="s">
        <v>140</v>
      </c>
      <c r="I9" s="11" t="s">
        <v>145</v>
      </c>
      <c r="J9" s="44" t="s">
        <v>147</v>
      </c>
      <c r="K9" s="38"/>
      <c r="L9" s="11" t="s">
        <v>156</v>
      </c>
      <c r="M9" s="11" t="s">
        <v>512</v>
      </c>
      <c r="N9" s="11" t="s">
        <v>496</v>
      </c>
      <c r="O9" s="38"/>
      <c r="P9" s="38" t="str">
        <f>"202,5"</f>
        <v>202,5</v>
      </c>
      <c r="Q9" s="38" t="str">
        <f>"119,1713"</f>
        <v>119,1713</v>
      </c>
      <c r="R9" s="37" t="s">
        <v>582</v>
      </c>
    </row>
    <row r="10" ht="12.75">
      <c r="B10" s="30" t="s">
        <v>12</v>
      </c>
    </row>
    <row r="11" spans="1:17" ht="15">
      <c r="A11" s="66" t="s">
        <v>56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8" ht="12.75">
      <c r="A12" s="38" t="s">
        <v>43</v>
      </c>
      <c r="B12" s="37" t="s">
        <v>505</v>
      </c>
      <c r="C12" s="37" t="s">
        <v>511</v>
      </c>
      <c r="D12" s="37" t="s">
        <v>510</v>
      </c>
      <c r="E12" s="37" t="str">
        <f>"0,5563"</f>
        <v>0,5563</v>
      </c>
      <c r="F12" s="37" t="s">
        <v>23</v>
      </c>
      <c r="G12" s="37" t="s">
        <v>125</v>
      </c>
      <c r="H12" s="11" t="s">
        <v>100</v>
      </c>
      <c r="I12" s="11" t="s">
        <v>165</v>
      </c>
      <c r="J12" s="11" t="s">
        <v>101</v>
      </c>
      <c r="K12" s="38"/>
      <c r="L12" s="11" t="s">
        <v>128</v>
      </c>
      <c r="M12" s="11" t="s">
        <v>28</v>
      </c>
      <c r="N12" s="11" t="s">
        <v>134</v>
      </c>
      <c r="O12" s="38"/>
      <c r="P12" s="38" t="str">
        <f>"230,0"</f>
        <v>230,0</v>
      </c>
      <c r="Q12" s="38" t="str">
        <f>"127,9490"</f>
        <v>127,9490</v>
      </c>
      <c r="R12" s="37" t="s">
        <v>582</v>
      </c>
    </row>
    <row r="13" ht="12.75">
      <c r="B13" s="30" t="s">
        <v>12</v>
      </c>
    </row>
    <row r="14" spans="1:17" ht="15">
      <c r="A14" s="66" t="s">
        <v>257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8" ht="12.75">
      <c r="A15" s="38" t="s">
        <v>43</v>
      </c>
      <c r="B15" s="37" t="s">
        <v>509</v>
      </c>
      <c r="C15" s="37" t="s">
        <v>508</v>
      </c>
      <c r="D15" s="37" t="s">
        <v>507</v>
      </c>
      <c r="E15" s="37" t="str">
        <f>"0,5396"</f>
        <v>0,5396</v>
      </c>
      <c r="F15" s="37" t="s">
        <v>23</v>
      </c>
      <c r="G15" s="37" t="s">
        <v>125</v>
      </c>
      <c r="H15" s="11" t="s">
        <v>146</v>
      </c>
      <c r="I15" s="44" t="s">
        <v>100</v>
      </c>
      <c r="J15" s="11" t="s">
        <v>506</v>
      </c>
      <c r="K15" s="38"/>
      <c r="L15" s="11" t="s">
        <v>305</v>
      </c>
      <c r="M15" s="11" t="s">
        <v>127</v>
      </c>
      <c r="N15" s="11" t="s">
        <v>128</v>
      </c>
      <c r="O15" s="38"/>
      <c r="P15" s="38" t="str">
        <f>"216,0"</f>
        <v>216,0</v>
      </c>
      <c r="Q15" s="38" t="str">
        <f>"116,5536"</f>
        <v>116,5536</v>
      </c>
      <c r="R15" s="37" t="s">
        <v>582</v>
      </c>
    </row>
    <row r="16" ht="12.75">
      <c r="B16" s="30" t="s">
        <v>12</v>
      </c>
    </row>
    <row r="17" spans="1:17" ht="15">
      <c r="A17" s="66" t="s">
        <v>62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18" ht="12.75">
      <c r="A18" s="38" t="s">
        <v>43</v>
      </c>
      <c r="B18" s="37" t="s">
        <v>105</v>
      </c>
      <c r="C18" s="37" t="s">
        <v>106</v>
      </c>
      <c r="D18" s="37" t="s">
        <v>107</v>
      </c>
      <c r="E18" s="37" t="str">
        <f>"0,5292"</f>
        <v>0,5292</v>
      </c>
      <c r="F18" s="37" t="s">
        <v>23</v>
      </c>
      <c r="G18" s="37" t="s">
        <v>52</v>
      </c>
      <c r="H18" s="44" t="s">
        <v>101</v>
      </c>
      <c r="I18" s="11" t="s">
        <v>119</v>
      </c>
      <c r="J18" s="11" t="s">
        <v>102</v>
      </c>
      <c r="K18" s="38"/>
      <c r="L18" s="11" t="s">
        <v>301</v>
      </c>
      <c r="M18" s="11" t="s">
        <v>155</v>
      </c>
      <c r="N18" s="11" t="s">
        <v>134</v>
      </c>
      <c r="O18" s="38"/>
      <c r="P18" s="38" t="str">
        <f>"240,0"</f>
        <v>240,0</v>
      </c>
      <c r="Q18" s="38" t="str">
        <f>"127,0080"</f>
        <v>127,0080</v>
      </c>
      <c r="R18" s="37" t="s">
        <v>582</v>
      </c>
    </row>
    <row r="19" ht="12.75">
      <c r="B19" s="30" t="s">
        <v>12</v>
      </c>
    </row>
    <row r="20" spans="2:7" ht="15">
      <c r="B20" s="30" t="s">
        <v>12</v>
      </c>
      <c r="C20" s="56"/>
      <c r="D20" s="56"/>
      <c r="E20" s="56"/>
      <c r="F20" s="57"/>
      <c r="G20" s="56"/>
    </row>
    <row r="21" spans="2:7" ht="15">
      <c r="B21" s="30" t="s">
        <v>12</v>
      </c>
      <c r="C21" s="56"/>
      <c r="D21" s="56"/>
      <c r="E21" s="56"/>
      <c r="F21" s="57"/>
      <c r="G21" s="56"/>
    </row>
    <row r="22" spans="2:7" ht="15">
      <c r="B22" s="30" t="s">
        <v>12</v>
      </c>
      <c r="C22" s="56"/>
      <c r="D22" s="56"/>
      <c r="E22" s="56"/>
      <c r="F22" s="57"/>
      <c r="G22" s="56"/>
    </row>
    <row r="23" spans="2:7" ht="15">
      <c r="B23" s="30" t="s">
        <v>12</v>
      </c>
      <c r="C23" s="56"/>
      <c r="D23" s="56"/>
      <c r="E23" s="56"/>
      <c r="F23" s="57"/>
      <c r="G23" s="56"/>
    </row>
    <row r="24" spans="2:7" ht="15">
      <c r="B24" s="30" t="s">
        <v>12</v>
      </c>
      <c r="C24" s="56"/>
      <c r="D24" s="56"/>
      <c r="E24" s="56"/>
      <c r="F24" s="57"/>
      <c r="G24" s="56"/>
    </row>
    <row r="25" spans="2:7" ht="15">
      <c r="B25" s="30" t="s">
        <v>12</v>
      </c>
      <c r="C25" s="56"/>
      <c r="D25" s="56"/>
      <c r="E25" s="56"/>
      <c r="F25" s="57"/>
      <c r="G25" s="56"/>
    </row>
    <row r="26" spans="2:7" ht="15">
      <c r="B26" s="30" t="s">
        <v>12</v>
      </c>
      <c r="C26" s="56"/>
      <c r="D26" s="56"/>
      <c r="E26" s="56"/>
      <c r="F26" s="57"/>
      <c r="G26" s="56"/>
    </row>
    <row r="27" spans="2:7" ht="12.75">
      <c r="B27" s="30" t="s">
        <v>12</v>
      </c>
      <c r="C27" s="56"/>
      <c r="D27" s="56"/>
      <c r="E27" s="56"/>
      <c r="F27" s="56"/>
      <c r="G27" s="56"/>
    </row>
    <row r="28" spans="2:7" ht="18">
      <c r="B28" s="30" t="s">
        <v>12</v>
      </c>
      <c r="C28" s="60"/>
      <c r="D28" s="60"/>
      <c r="E28" s="56"/>
      <c r="F28" s="56"/>
      <c r="G28" s="56"/>
    </row>
    <row r="29" spans="2:7" ht="15">
      <c r="B29" s="30" t="s">
        <v>12</v>
      </c>
      <c r="C29" s="61"/>
      <c r="D29" s="61"/>
      <c r="E29" s="56"/>
      <c r="F29" s="56"/>
      <c r="G29" s="56"/>
    </row>
    <row r="30" spans="2:7" ht="14.25">
      <c r="B30" s="30" t="s">
        <v>12</v>
      </c>
      <c r="C30" s="62"/>
      <c r="D30" s="62"/>
      <c r="E30" s="56"/>
      <c r="F30" s="56"/>
      <c r="G30" s="56"/>
    </row>
    <row r="31" spans="2:7" ht="15">
      <c r="B31" s="30" t="s">
        <v>12</v>
      </c>
      <c r="C31" s="63"/>
      <c r="D31" s="63"/>
      <c r="E31" s="63"/>
      <c r="F31" s="63"/>
      <c r="G31" s="63"/>
    </row>
    <row r="32" spans="2:7" ht="12.75">
      <c r="B32" s="30" t="s">
        <v>12</v>
      </c>
      <c r="C32" s="56"/>
      <c r="D32" s="56"/>
      <c r="E32" s="58"/>
      <c r="F32" s="58"/>
      <c r="G32" s="58"/>
    </row>
    <row r="33" spans="2:7" ht="12.75">
      <c r="B33" s="30" t="s">
        <v>12</v>
      </c>
      <c r="C33" s="56"/>
      <c r="D33" s="56"/>
      <c r="E33" s="58"/>
      <c r="F33" s="58"/>
      <c r="G33" s="58"/>
    </row>
    <row r="34" spans="2:7" ht="12.75">
      <c r="B34" s="30" t="s">
        <v>12</v>
      </c>
      <c r="C34" s="56"/>
      <c r="D34" s="56"/>
      <c r="E34" s="58"/>
      <c r="F34" s="58"/>
      <c r="G34" s="58"/>
    </row>
    <row r="35" spans="2:7" ht="12.75">
      <c r="B35" s="30" t="s">
        <v>12</v>
      </c>
      <c r="C35" s="56"/>
      <c r="D35" s="56"/>
      <c r="E35" s="56"/>
      <c r="F35" s="56"/>
      <c r="G35" s="56"/>
    </row>
    <row r="36" spans="3:7" ht="12.75">
      <c r="C36" s="56"/>
      <c r="D36" s="56"/>
      <c r="E36" s="56"/>
      <c r="F36" s="56"/>
      <c r="G36" s="56"/>
    </row>
    <row r="37" spans="3:7" ht="12.75">
      <c r="C37" s="56"/>
      <c r="D37" s="56"/>
      <c r="E37" s="56"/>
      <c r="F37" s="56"/>
      <c r="G37" s="56"/>
    </row>
    <row r="38" spans="3:7" ht="12.75">
      <c r="C38" s="56"/>
      <c r="D38" s="56"/>
      <c r="E38" s="56"/>
      <c r="F38" s="56"/>
      <c r="G38" s="56"/>
    </row>
  </sheetData>
  <sheetProtection/>
  <mergeCells count="18">
    <mergeCell ref="G3:G4"/>
    <mergeCell ref="H3:K3"/>
    <mergeCell ref="L3:O3"/>
    <mergeCell ref="A14:Q14"/>
    <mergeCell ref="A17:Q17"/>
    <mergeCell ref="B3:B4"/>
    <mergeCell ref="P3:P4"/>
    <mergeCell ref="Q3:Q4"/>
    <mergeCell ref="R3:R4"/>
    <mergeCell ref="A5:Q5"/>
    <mergeCell ref="A8:Q8"/>
    <mergeCell ref="A11:Q11"/>
    <mergeCell ref="A1:R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R3" sqref="R1:R16384"/>
    </sheetView>
  </sheetViews>
  <sheetFormatPr defaultColWidth="8.75390625" defaultRowHeight="12.75"/>
  <cols>
    <col min="1" max="1" width="7.375" style="30" bestFit="1" customWidth="1"/>
    <col min="2" max="2" width="18.37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17.25390625" style="30" bestFit="1" customWidth="1"/>
    <col min="8" max="10" width="4.625" style="31" bestFit="1" customWidth="1"/>
    <col min="11" max="11" width="4.875" style="31" bestFit="1" customWidth="1"/>
    <col min="12" max="14" width="4.625" style="31" bestFit="1" customWidth="1"/>
    <col min="15" max="15" width="4.875" style="31" bestFit="1" customWidth="1"/>
    <col min="16" max="16" width="7.875" style="31" bestFit="1" customWidth="1"/>
    <col min="17" max="17" width="8.625" style="31" bestFit="1" customWidth="1"/>
    <col min="18" max="18" width="15.125" style="30" bestFit="1" customWidth="1"/>
    <col min="19" max="16384" width="8.75390625" style="29" customWidth="1"/>
  </cols>
  <sheetData>
    <row r="1" spans="1:18" s="43" customFormat="1" ht="28.5" customHeight="1">
      <c r="A1" s="72" t="s">
        <v>525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15</v>
      </c>
      <c r="F3" s="70" t="s">
        <v>4</v>
      </c>
      <c r="G3" s="70" t="s">
        <v>8</v>
      </c>
      <c r="H3" s="70" t="s">
        <v>518</v>
      </c>
      <c r="I3" s="70"/>
      <c r="J3" s="70"/>
      <c r="K3" s="70"/>
      <c r="L3" s="70" t="s">
        <v>517</v>
      </c>
      <c r="M3" s="70"/>
      <c r="N3" s="70"/>
      <c r="O3" s="70"/>
      <c r="P3" s="70" t="s">
        <v>1</v>
      </c>
      <c r="Q3" s="70" t="s">
        <v>3</v>
      </c>
      <c r="R3" s="82" t="s">
        <v>2</v>
      </c>
    </row>
    <row r="4" spans="1:18" s="40" customFormat="1" ht="21" customHeight="1" thickBot="1">
      <c r="A4" s="80"/>
      <c r="B4" s="68"/>
      <c r="C4" s="71"/>
      <c r="D4" s="71"/>
      <c r="E4" s="71"/>
      <c r="F4" s="71"/>
      <c r="G4" s="71"/>
      <c r="H4" s="42">
        <v>1</v>
      </c>
      <c r="I4" s="42">
        <v>2</v>
      </c>
      <c r="J4" s="42">
        <v>3</v>
      </c>
      <c r="K4" s="42" t="s">
        <v>5</v>
      </c>
      <c r="L4" s="42">
        <v>1</v>
      </c>
      <c r="M4" s="42">
        <v>2</v>
      </c>
      <c r="N4" s="42">
        <v>3</v>
      </c>
      <c r="O4" s="42" t="s">
        <v>5</v>
      </c>
      <c r="P4" s="71"/>
      <c r="Q4" s="71"/>
      <c r="R4" s="83"/>
    </row>
    <row r="5" spans="1:17" ht="15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ht="12.75">
      <c r="A6" s="38" t="s">
        <v>43</v>
      </c>
      <c r="B6" s="37" t="s">
        <v>520</v>
      </c>
      <c r="C6" s="37" t="s">
        <v>524</v>
      </c>
      <c r="D6" s="37" t="s">
        <v>523</v>
      </c>
      <c r="E6" s="37" t="str">
        <f>"0,6550"</f>
        <v>0,6550</v>
      </c>
      <c r="F6" s="37" t="s">
        <v>23</v>
      </c>
      <c r="G6" s="37" t="s">
        <v>522</v>
      </c>
      <c r="H6" s="11" t="s">
        <v>128</v>
      </c>
      <c r="I6" s="11" t="s">
        <v>28</v>
      </c>
      <c r="J6" s="11" t="s">
        <v>496</v>
      </c>
      <c r="K6" s="38"/>
      <c r="L6" s="11" t="s">
        <v>521</v>
      </c>
      <c r="M6" s="11" t="s">
        <v>293</v>
      </c>
      <c r="N6" s="11" t="s">
        <v>294</v>
      </c>
      <c r="O6" s="38"/>
      <c r="P6" s="38" t="str">
        <f>"155,0"</f>
        <v>155,0</v>
      </c>
      <c r="Q6" s="38" t="str">
        <f>"101,5250"</f>
        <v>101,5250</v>
      </c>
      <c r="R6" s="37" t="s">
        <v>582</v>
      </c>
    </row>
    <row r="7" ht="12.75">
      <c r="B7" s="30" t="s">
        <v>12</v>
      </c>
    </row>
    <row r="8" spans="2:11" ht="15">
      <c r="B8" s="30" t="s">
        <v>12</v>
      </c>
      <c r="C8" s="56"/>
      <c r="D8" s="56"/>
      <c r="E8" s="56"/>
      <c r="F8" s="57"/>
      <c r="G8" s="56"/>
      <c r="H8" s="58"/>
      <c r="I8" s="58"/>
      <c r="J8" s="58"/>
      <c r="K8" s="58"/>
    </row>
    <row r="9" spans="2:11" ht="15">
      <c r="B9" s="30" t="s">
        <v>12</v>
      </c>
      <c r="C9" s="56"/>
      <c r="D9" s="56"/>
      <c r="E9" s="56"/>
      <c r="F9" s="57"/>
      <c r="G9" s="56"/>
      <c r="H9" s="58"/>
      <c r="I9" s="58"/>
      <c r="J9" s="58"/>
      <c r="K9" s="58"/>
    </row>
    <row r="10" spans="2:11" ht="15">
      <c r="B10" s="30" t="s">
        <v>12</v>
      </c>
      <c r="C10" s="56"/>
      <c r="D10" s="56"/>
      <c r="E10" s="56"/>
      <c r="F10" s="57"/>
      <c r="G10" s="56"/>
      <c r="H10" s="58"/>
      <c r="I10" s="58"/>
      <c r="J10" s="58"/>
      <c r="K10" s="58"/>
    </row>
    <row r="11" spans="2:11" ht="15">
      <c r="B11" s="30" t="s">
        <v>12</v>
      </c>
      <c r="C11" s="56"/>
      <c r="D11" s="56"/>
      <c r="E11" s="56"/>
      <c r="F11" s="57"/>
      <c r="G11" s="56"/>
      <c r="H11" s="58"/>
      <c r="I11" s="58"/>
      <c r="J11" s="58"/>
      <c r="K11" s="58"/>
    </row>
    <row r="12" spans="2:11" ht="15">
      <c r="B12" s="30" t="s">
        <v>12</v>
      </c>
      <c r="C12" s="56"/>
      <c r="D12" s="56"/>
      <c r="E12" s="56"/>
      <c r="F12" s="57"/>
      <c r="G12" s="56"/>
      <c r="H12" s="58"/>
      <c r="I12" s="58"/>
      <c r="J12" s="58"/>
      <c r="K12" s="58"/>
    </row>
    <row r="13" spans="2:11" ht="15">
      <c r="B13" s="30" t="s">
        <v>12</v>
      </c>
      <c r="C13" s="56"/>
      <c r="D13" s="56"/>
      <c r="E13" s="56"/>
      <c r="F13" s="57"/>
      <c r="G13" s="56"/>
      <c r="H13" s="58"/>
      <c r="I13" s="58"/>
      <c r="J13" s="58"/>
      <c r="K13" s="58"/>
    </row>
    <row r="14" spans="2:11" ht="15">
      <c r="B14" s="30" t="s">
        <v>12</v>
      </c>
      <c r="C14" s="56"/>
      <c r="D14" s="56"/>
      <c r="E14" s="56"/>
      <c r="F14" s="57"/>
      <c r="G14" s="56"/>
      <c r="H14" s="58"/>
      <c r="I14" s="58"/>
      <c r="J14" s="58"/>
      <c r="K14" s="58"/>
    </row>
    <row r="15" spans="2:11" ht="12.75">
      <c r="B15" s="30" t="s">
        <v>12</v>
      </c>
      <c r="C15" s="56"/>
      <c r="D15" s="56"/>
      <c r="E15" s="56"/>
      <c r="F15" s="56"/>
      <c r="G15" s="56"/>
      <c r="H15" s="58"/>
      <c r="I15" s="58"/>
      <c r="J15" s="58"/>
      <c r="K15" s="58"/>
    </row>
    <row r="16" spans="2:11" ht="18">
      <c r="B16" s="30" t="s">
        <v>12</v>
      </c>
      <c r="C16" s="60"/>
      <c r="D16" s="60"/>
      <c r="E16" s="56"/>
      <c r="F16" s="56"/>
      <c r="G16" s="56"/>
      <c r="H16" s="58"/>
      <c r="I16" s="58"/>
      <c r="J16" s="58"/>
      <c r="K16" s="58"/>
    </row>
    <row r="17" spans="2:11" ht="15">
      <c r="B17" s="30" t="s">
        <v>12</v>
      </c>
      <c r="C17" s="61"/>
      <c r="D17" s="61"/>
      <c r="E17" s="56"/>
      <c r="F17" s="56"/>
      <c r="G17" s="56"/>
      <c r="H17" s="58"/>
      <c r="I17" s="58"/>
      <c r="J17" s="58"/>
      <c r="K17" s="58"/>
    </row>
    <row r="18" spans="2:11" ht="14.25">
      <c r="B18" s="30" t="s">
        <v>12</v>
      </c>
      <c r="C18" s="62"/>
      <c r="D18" s="62"/>
      <c r="E18" s="56"/>
      <c r="F18" s="56"/>
      <c r="G18" s="56"/>
      <c r="H18" s="58"/>
      <c r="I18" s="58"/>
      <c r="J18" s="58"/>
      <c r="K18" s="58"/>
    </row>
    <row r="19" spans="2:11" ht="15">
      <c r="B19" s="30" t="s">
        <v>12</v>
      </c>
      <c r="C19" s="63"/>
      <c r="D19" s="63"/>
      <c r="E19" s="63"/>
      <c r="F19" s="63"/>
      <c r="G19" s="63"/>
      <c r="H19" s="58"/>
      <c r="I19" s="58"/>
      <c r="J19" s="58"/>
      <c r="K19" s="58"/>
    </row>
    <row r="20" spans="2:11" ht="12.75">
      <c r="B20" s="30" t="s">
        <v>12</v>
      </c>
      <c r="C20" s="56"/>
      <c r="D20" s="56"/>
      <c r="E20" s="58"/>
      <c r="F20" s="58"/>
      <c r="G20" s="58"/>
      <c r="H20" s="58"/>
      <c r="I20" s="58"/>
      <c r="J20" s="58"/>
      <c r="K20" s="58"/>
    </row>
    <row r="21" spans="2:11" ht="12.75">
      <c r="B21" s="30" t="s">
        <v>12</v>
      </c>
      <c r="C21" s="56"/>
      <c r="D21" s="56"/>
      <c r="E21" s="56"/>
      <c r="F21" s="56"/>
      <c r="G21" s="56"/>
      <c r="H21" s="58"/>
      <c r="I21" s="58"/>
      <c r="J21" s="58"/>
      <c r="K21" s="58"/>
    </row>
  </sheetData>
  <sheetProtection/>
  <mergeCells count="14">
    <mergeCell ref="G3:G4"/>
    <mergeCell ref="H3:K3"/>
    <mergeCell ref="L3:O3"/>
    <mergeCell ref="P3:P4"/>
    <mergeCell ref="Q3:Q4"/>
    <mergeCell ref="R3:R4"/>
    <mergeCell ref="A5:Q5"/>
    <mergeCell ref="B3:B4"/>
    <mergeCell ref="A1:R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18" sqref="L18"/>
    </sheetView>
  </sheetViews>
  <sheetFormatPr defaultColWidth="8.75390625" defaultRowHeight="12.75"/>
  <cols>
    <col min="1" max="1" width="7.375" style="30" bestFit="1" customWidth="1"/>
    <col min="2" max="2" width="18.0039062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34.625" style="30" bestFit="1" customWidth="1"/>
    <col min="8" max="10" width="4.625" style="31" bestFit="1" customWidth="1"/>
    <col min="11" max="11" width="4.875" style="31" bestFit="1" customWidth="1"/>
    <col min="12" max="12" width="11.25390625" style="31" bestFit="1" customWidth="1"/>
    <col min="13" max="13" width="7.625" style="31" bestFit="1" customWidth="1"/>
    <col min="14" max="14" width="15.125" style="30" bestFit="1" customWidth="1"/>
    <col min="15" max="16384" width="8.75390625" style="29" customWidth="1"/>
  </cols>
  <sheetData>
    <row r="1" spans="1:14" s="43" customFormat="1" ht="28.5" customHeight="1">
      <c r="A1" s="72" t="s">
        <v>531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15</v>
      </c>
      <c r="F3" s="70" t="s">
        <v>4</v>
      </c>
      <c r="G3" s="70" t="s">
        <v>8</v>
      </c>
      <c r="H3" s="70" t="s">
        <v>517</v>
      </c>
      <c r="I3" s="70"/>
      <c r="J3" s="70"/>
      <c r="K3" s="70"/>
      <c r="L3" s="70" t="s">
        <v>248</v>
      </c>
      <c r="M3" s="70" t="s">
        <v>3</v>
      </c>
      <c r="N3" s="82" t="s">
        <v>2</v>
      </c>
    </row>
    <row r="4" spans="1:14" s="40" customFormat="1" ht="21" customHeight="1" thickBot="1">
      <c r="A4" s="80"/>
      <c r="B4" s="68"/>
      <c r="C4" s="71"/>
      <c r="D4" s="71"/>
      <c r="E4" s="71"/>
      <c r="F4" s="71"/>
      <c r="G4" s="71"/>
      <c r="H4" s="42">
        <v>1</v>
      </c>
      <c r="I4" s="42">
        <v>2</v>
      </c>
      <c r="J4" s="42">
        <v>3</v>
      </c>
      <c r="K4" s="42" t="s">
        <v>5</v>
      </c>
      <c r="L4" s="71"/>
      <c r="M4" s="71"/>
      <c r="N4" s="83"/>
    </row>
    <row r="5" spans="1:13" ht="15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38" t="s">
        <v>43</v>
      </c>
      <c r="B6" s="37" t="s">
        <v>516</v>
      </c>
      <c r="C6" s="37" t="s">
        <v>515</v>
      </c>
      <c r="D6" s="37" t="s">
        <v>514</v>
      </c>
      <c r="E6" s="37" t="str">
        <f>"0,7297"</f>
        <v>0,7297</v>
      </c>
      <c r="F6" s="37" t="s">
        <v>23</v>
      </c>
      <c r="G6" s="37" t="s">
        <v>57</v>
      </c>
      <c r="H6" s="11" t="s">
        <v>126</v>
      </c>
      <c r="I6" s="44" t="s">
        <v>155</v>
      </c>
      <c r="J6" s="44" t="s">
        <v>155</v>
      </c>
      <c r="K6" s="38"/>
      <c r="L6" s="38" t="str">
        <f>"65,0"</f>
        <v>65,0</v>
      </c>
      <c r="M6" s="38" t="str">
        <f>"47,4305"</f>
        <v>47,4305</v>
      </c>
      <c r="N6" s="37" t="s">
        <v>582</v>
      </c>
    </row>
    <row r="7" ht="12.75">
      <c r="B7" s="30" t="s">
        <v>12</v>
      </c>
    </row>
    <row r="8" spans="1:13" ht="15">
      <c r="A8" s="66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38" t="s">
        <v>43</v>
      </c>
      <c r="B9" s="37" t="s">
        <v>526</v>
      </c>
      <c r="C9" s="37" t="s">
        <v>530</v>
      </c>
      <c r="D9" s="37" t="s">
        <v>169</v>
      </c>
      <c r="E9" s="37" t="str">
        <f>"0,6652"</f>
        <v>0,6652</v>
      </c>
      <c r="F9" s="37" t="s">
        <v>23</v>
      </c>
      <c r="G9" s="37" t="s">
        <v>125</v>
      </c>
      <c r="H9" s="11" t="s">
        <v>155</v>
      </c>
      <c r="I9" s="11" t="s">
        <v>512</v>
      </c>
      <c r="J9" s="44" t="s">
        <v>28</v>
      </c>
      <c r="K9" s="38"/>
      <c r="L9" s="38" t="str">
        <f>"82,5"</f>
        <v>82,5</v>
      </c>
      <c r="M9" s="38" t="str">
        <f>"54,8790"</f>
        <v>54,8790</v>
      </c>
      <c r="N9" s="37" t="s">
        <v>582</v>
      </c>
    </row>
    <row r="10" ht="12.75">
      <c r="B10" s="30" t="s">
        <v>12</v>
      </c>
    </row>
    <row r="11" spans="1:13" ht="15">
      <c r="A11" s="66" t="s">
        <v>44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12.75">
      <c r="A12" s="38" t="s">
        <v>43</v>
      </c>
      <c r="B12" s="37" t="s">
        <v>529</v>
      </c>
      <c r="C12" s="37" t="s">
        <v>528</v>
      </c>
      <c r="D12" s="37" t="s">
        <v>527</v>
      </c>
      <c r="E12" s="37" t="str">
        <f>"0,6235"</f>
        <v>0,6235</v>
      </c>
      <c r="F12" s="37" t="s">
        <v>23</v>
      </c>
      <c r="G12" s="37" t="s">
        <v>482</v>
      </c>
      <c r="H12" s="11" t="s">
        <v>301</v>
      </c>
      <c r="I12" s="11" t="s">
        <v>305</v>
      </c>
      <c r="J12" s="44" t="s">
        <v>127</v>
      </c>
      <c r="K12" s="38"/>
      <c r="L12" s="38" t="str">
        <f>"70,0"</f>
        <v>70,0</v>
      </c>
      <c r="M12" s="38" t="str">
        <f>"43,6450"</f>
        <v>43,6450</v>
      </c>
      <c r="N12" s="37" t="s">
        <v>582</v>
      </c>
    </row>
    <row r="13" ht="12.75">
      <c r="B13" s="30" t="s">
        <v>12</v>
      </c>
    </row>
    <row r="14" spans="1:13" ht="15">
      <c r="A14" s="66" t="s">
        <v>47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4" ht="12.75">
      <c r="A15" s="38" t="s">
        <v>43</v>
      </c>
      <c r="B15" s="37" t="s">
        <v>504</v>
      </c>
      <c r="C15" s="37" t="s">
        <v>513</v>
      </c>
      <c r="D15" s="37" t="s">
        <v>370</v>
      </c>
      <c r="E15" s="37" t="str">
        <f>"0,5885"</f>
        <v>0,5885</v>
      </c>
      <c r="F15" s="37" t="s">
        <v>23</v>
      </c>
      <c r="G15" s="37" t="s">
        <v>125</v>
      </c>
      <c r="H15" s="11" t="s">
        <v>156</v>
      </c>
      <c r="I15" s="11" t="s">
        <v>512</v>
      </c>
      <c r="J15" s="11" t="s">
        <v>496</v>
      </c>
      <c r="K15" s="38"/>
      <c r="L15" s="38" t="str">
        <f>"87,5"</f>
        <v>87,5</v>
      </c>
      <c r="M15" s="38" t="str">
        <f>"51,4938"</f>
        <v>51,4938</v>
      </c>
      <c r="N15" s="37" t="s">
        <v>582</v>
      </c>
    </row>
    <row r="16" ht="12.75">
      <c r="B16" s="30" t="s">
        <v>12</v>
      </c>
    </row>
    <row r="17" spans="2:7" ht="15">
      <c r="B17" s="30" t="s">
        <v>12</v>
      </c>
      <c r="C17" s="56"/>
      <c r="D17" s="56"/>
      <c r="E17" s="56"/>
      <c r="F17" s="57"/>
      <c r="G17" s="56"/>
    </row>
    <row r="18" spans="2:7" ht="15">
      <c r="B18" s="30" t="s">
        <v>12</v>
      </c>
      <c r="C18" s="56"/>
      <c r="D18" s="56"/>
      <c r="E18" s="56"/>
      <c r="F18" s="57"/>
      <c r="G18" s="56"/>
    </row>
    <row r="19" spans="2:7" ht="15">
      <c r="B19" s="30" t="s">
        <v>12</v>
      </c>
      <c r="C19" s="56"/>
      <c r="D19" s="56"/>
      <c r="E19" s="56"/>
      <c r="F19" s="57"/>
      <c r="G19" s="56"/>
    </row>
    <row r="20" spans="2:7" ht="15">
      <c r="B20" s="30" t="s">
        <v>12</v>
      </c>
      <c r="C20" s="56"/>
      <c r="D20" s="56"/>
      <c r="E20" s="56"/>
      <c r="F20" s="57"/>
      <c r="G20" s="56"/>
    </row>
    <row r="21" spans="2:7" ht="15">
      <c r="B21" s="30" t="s">
        <v>12</v>
      </c>
      <c r="C21" s="56"/>
      <c r="D21" s="56"/>
      <c r="E21" s="56"/>
      <c r="F21" s="57"/>
      <c r="G21" s="56"/>
    </row>
    <row r="22" spans="2:7" ht="15">
      <c r="B22" s="30" t="s">
        <v>12</v>
      </c>
      <c r="C22" s="56"/>
      <c r="D22" s="56"/>
      <c r="E22" s="56"/>
      <c r="F22" s="57"/>
      <c r="G22" s="56"/>
    </row>
    <row r="23" spans="2:7" ht="15">
      <c r="B23" s="30" t="s">
        <v>12</v>
      </c>
      <c r="C23" s="56"/>
      <c r="D23" s="56"/>
      <c r="E23" s="56"/>
      <c r="F23" s="57"/>
      <c r="G23" s="56"/>
    </row>
    <row r="24" spans="2:7" ht="12.75">
      <c r="B24" s="30" t="s">
        <v>12</v>
      </c>
      <c r="C24" s="56"/>
      <c r="D24" s="56"/>
      <c r="E24" s="56"/>
      <c r="F24" s="56"/>
      <c r="G24" s="56"/>
    </row>
    <row r="25" spans="2:7" ht="18">
      <c r="B25" s="30" t="s">
        <v>12</v>
      </c>
      <c r="C25" s="60"/>
      <c r="D25" s="60"/>
      <c r="E25" s="56"/>
      <c r="F25" s="56"/>
      <c r="G25" s="56"/>
    </row>
    <row r="26" spans="2:7" ht="15">
      <c r="B26" s="30" t="s">
        <v>12</v>
      </c>
      <c r="C26" s="61"/>
      <c r="D26" s="61"/>
      <c r="E26" s="56"/>
      <c r="F26" s="56"/>
      <c r="G26" s="56"/>
    </row>
    <row r="27" spans="2:7" ht="14.25">
      <c r="B27" s="30" t="s">
        <v>12</v>
      </c>
      <c r="C27" s="62"/>
      <c r="D27" s="62"/>
      <c r="E27" s="56"/>
      <c r="F27" s="56"/>
      <c r="G27" s="56"/>
    </row>
    <row r="28" spans="2:7" ht="15">
      <c r="B28" s="30" t="s">
        <v>12</v>
      </c>
      <c r="C28" s="63"/>
      <c r="D28" s="63"/>
      <c r="E28" s="63"/>
      <c r="F28" s="63"/>
      <c r="G28" s="63"/>
    </row>
    <row r="29" spans="2:7" ht="12.75">
      <c r="B29" s="30" t="s">
        <v>12</v>
      </c>
      <c r="C29" s="56"/>
      <c r="D29" s="56"/>
      <c r="E29" s="58"/>
      <c r="F29" s="58"/>
      <c r="G29" s="58"/>
    </row>
    <row r="30" spans="2:7" ht="12.75">
      <c r="B30" s="30" t="s">
        <v>12</v>
      </c>
      <c r="C30" s="56"/>
      <c r="D30" s="56"/>
      <c r="E30" s="58"/>
      <c r="F30" s="58"/>
      <c r="G30" s="58"/>
    </row>
    <row r="31" spans="2:7" ht="12.75">
      <c r="B31" s="30" t="s">
        <v>12</v>
      </c>
      <c r="C31" s="56"/>
      <c r="D31" s="56"/>
      <c r="E31" s="58"/>
      <c r="F31" s="58"/>
      <c r="G31" s="58"/>
    </row>
    <row r="32" spans="2:7" ht="12.75">
      <c r="B32" s="30" t="s">
        <v>12</v>
      </c>
      <c r="C32" s="56"/>
      <c r="D32" s="56"/>
      <c r="E32" s="56"/>
      <c r="F32" s="56"/>
      <c r="G32" s="56"/>
    </row>
    <row r="33" spans="3:7" ht="12.75">
      <c r="C33" s="56"/>
      <c r="D33" s="56"/>
      <c r="E33" s="56"/>
      <c r="F33" s="56"/>
      <c r="G33" s="56"/>
    </row>
    <row r="34" spans="3:7" ht="12.75">
      <c r="C34" s="56"/>
      <c r="D34" s="56"/>
      <c r="E34" s="56"/>
      <c r="F34" s="56"/>
      <c r="G34" s="56"/>
    </row>
    <row r="35" spans="3:7" ht="12.75">
      <c r="C35" s="56"/>
      <c r="D35" s="56"/>
      <c r="E35" s="56"/>
      <c r="F35" s="56"/>
      <c r="G35" s="56"/>
    </row>
    <row r="36" spans="3:7" ht="12.75">
      <c r="C36" s="56"/>
      <c r="D36" s="56"/>
      <c r="E36" s="56"/>
      <c r="F36" s="56"/>
      <c r="G36" s="56"/>
    </row>
  </sheetData>
  <sheetProtection/>
  <mergeCells count="16">
    <mergeCell ref="A14:M14"/>
    <mergeCell ref="B3:B4"/>
    <mergeCell ref="L3:L4"/>
    <mergeCell ref="M3:M4"/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7">
      <selection activeCell="N24" sqref="N24"/>
    </sheetView>
  </sheetViews>
  <sheetFormatPr defaultColWidth="8.75390625" defaultRowHeight="12.75"/>
  <cols>
    <col min="1" max="1" width="7.375" style="30" bestFit="1" customWidth="1"/>
    <col min="2" max="2" width="18.375" style="30" bestFit="1" customWidth="1"/>
    <col min="3" max="3" width="28.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29.125" style="30" bestFit="1" customWidth="1"/>
    <col min="8" max="10" width="4.625" style="31" bestFit="1" customWidth="1"/>
    <col min="11" max="11" width="4.875" style="31" bestFit="1" customWidth="1"/>
    <col min="12" max="12" width="11.25390625" style="31" bestFit="1" customWidth="1"/>
    <col min="13" max="13" width="7.625" style="31" bestFit="1" customWidth="1"/>
    <col min="14" max="14" width="15.125" style="30" bestFit="1" customWidth="1"/>
    <col min="15" max="16384" width="8.75390625" style="29" customWidth="1"/>
  </cols>
  <sheetData>
    <row r="1" spans="1:14" s="43" customFormat="1" ht="28.5" customHeight="1">
      <c r="A1" s="72" t="s">
        <v>564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15</v>
      </c>
      <c r="F3" s="70" t="s">
        <v>4</v>
      </c>
      <c r="G3" s="70" t="s">
        <v>8</v>
      </c>
      <c r="H3" s="70" t="s">
        <v>517</v>
      </c>
      <c r="I3" s="70"/>
      <c r="J3" s="70"/>
      <c r="K3" s="70"/>
      <c r="L3" s="70" t="s">
        <v>248</v>
      </c>
      <c r="M3" s="70" t="s">
        <v>3</v>
      </c>
      <c r="N3" s="82" t="s">
        <v>2</v>
      </c>
    </row>
    <row r="4" spans="1:14" s="40" customFormat="1" ht="21" customHeight="1" thickBot="1">
      <c r="A4" s="80"/>
      <c r="B4" s="68"/>
      <c r="C4" s="71"/>
      <c r="D4" s="71"/>
      <c r="E4" s="71"/>
      <c r="F4" s="71"/>
      <c r="G4" s="71"/>
      <c r="H4" s="42">
        <v>1</v>
      </c>
      <c r="I4" s="42">
        <v>2</v>
      </c>
      <c r="J4" s="42">
        <v>3</v>
      </c>
      <c r="K4" s="42" t="s">
        <v>5</v>
      </c>
      <c r="L4" s="71"/>
      <c r="M4" s="71"/>
      <c r="N4" s="83"/>
    </row>
    <row r="5" spans="1:13" ht="15">
      <c r="A5" s="69" t="s">
        <v>563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38" t="s">
        <v>43</v>
      </c>
      <c r="B6" s="37" t="s">
        <v>540</v>
      </c>
      <c r="C6" s="37" t="s">
        <v>562</v>
      </c>
      <c r="D6" s="37" t="s">
        <v>561</v>
      </c>
      <c r="E6" s="37" t="str">
        <f>"0,9770"</f>
        <v>0,9770</v>
      </c>
      <c r="F6" s="37" t="s">
        <v>23</v>
      </c>
      <c r="G6" s="37" t="s">
        <v>560</v>
      </c>
      <c r="H6" s="11" t="s">
        <v>559</v>
      </c>
      <c r="I6" s="11" t="s">
        <v>558</v>
      </c>
      <c r="J6" s="11" t="s">
        <v>539</v>
      </c>
      <c r="K6" s="38"/>
      <c r="L6" s="38" t="str">
        <f>"27,5"</f>
        <v>27,5</v>
      </c>
      <c r="M6" s="38" t="str">
        <f>"26,8675"</f>
        <v>26,8675</v>
      </c>
      <c r="N6" s="37" t="s">
        <v>582</v>
      </c>
    </row>
    <row r="7" ht="12.75">
      <c r="B7" s="30" t="s">
        <v>12</v>
      </c>
    </row>
    <row r="8" spans="1:13" ht="15">
      <c r="A8" s="66" t="s">
        <v>19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38" t="s">
        <v>43</v>
      </c>
      <c r="B9" s="37" t="s">
        <v>306</v>
      </c>
      <c r="C9" s="37" t="s">
        <v>307</v>
      </c>
      <c r="D9" s="37" t="s">
        <v>308</v>
      </c>
      <c r="E9" s="37" t="str">
        <f>"0,7872"</f>
        <v>0,7872</v>
      </c>
      <c r="F9" s="37" t="s">
        <v>23</v>
      </c>
      <c r="G9" s="37" t="s">
        <v>309</v>
      </c>
      <c r="H9" s="11" t="s">
        <v>276</v>
      </c>
      <c r="I9" s="11" t="s">
        <v>277</v>
      </c>
      <c r="J9" s="11" t="s">
        <v>541</v>
      </c>
      <c r="K9" s="38"/>
      <c r="L9" s="38" t="str">
        <f>"42,5"</f>
        <v>42,5</v>
      </c>
      <c r="M9" s="38" t="str">
        <f>"33,4560"</f>
        <v>33,4560</v>
      </c>
      <c r="N9" s="37" t="s">
        <v>582</v>
      </c>
    </row>
    <row r="10" ht="12.75">
      <c r="B10" s="30" t="s">
        <v>12</v>
      </c>
    </row>
    <row r="11" spans="1:13" ht="15">
      <c r="A11" s="66" t="s">
        <v>150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4" ht="12.75">
      <c r="A12" s="50" t="s">
        <v>43</v>
      </c>
      <c r="B12" s="49" t="s">
        <v>538</v>
      </c>
      <c r="C12" s="49" t="s">
        <v>557</v>
      </c>
      <c r="D12" s="49" t="s">
        <v>556</v>
      </c>
      <c r="E12" s="49" t="str">
        <f>"0,6859"</f>
        <v>0,6859</v>
      </c>
      <c r="F12" s="49" t="s">
        <v>23</v>
      </c>
      <c r="G12" s="49" t="s">
        <v>57</v>
      </c>
      <c r="H12" s="18" t="s">
        <v>287</v>
      </c>
      <c r="I12" s="18" t="s">
        <v>136</v>
      </c>
      <c r="J12" s="18" t="s">
        <v>283</v>
      </c>
      <c r="K12" s="50"/>
      <c r="L12" s="50" t="str">
        <f>"52,5"</f>
        <v>52,5</v>
      </c>
      <c r="M12" s="50" t="str">
        <f>"40,6910"</f>
        <v>40,6910</v>
      </c>
      <c r="N12" s="49" t="s">
        <v>582</v>
      </c>
    </row>
    <row r="13" spans="1:14" ht="12.75">
      <c r="A13" s="48" t="s">
        <v>43</v>
      </c>
      <c r="B13" s="47" t="s">
        <v>481</v>
      </c>
      <c r="C13" s="47" t="s">
        <v>483</v>
      </c>
      <c r="D13" s="47" t="s">
        <v>174</v>
      </c>
      <c r="E13" s="47" t="str">
        <f>"0,6745"</f>
        <v>0,6745</v>
      </c>
      <c r="F13" s="47" t="s">
        <v>23</v>
      </c>
      <c r="G13" s="47" t="s">
        <v>482</v>
      </c>
      <c r="H13" s="27" t="s">
        <v>136</v>
      </c>
      <c r="I13" s="27" t="s">
        <v>283</v>
      </c>
      <c r="J13" s="52" t="s">
        <v>137</v>
      </c>
      <c r="K13" s="48"/>
      <c r="L13" s="48" t="str">
        <f>"52,5"</f>
        <v>52,5</v>
      </c>
      <c r="M13" s="48" t="str">
        <f>"37,5359"</f>
        <v>37,5359</v>
      </c>
      <c r="N13" s="47" t="s">
        <v>582</v>
      </c>
    </row>
    <row r="14" spans="1:14" ht="12.75">
      <c r="A14" s="46" t="s">
        <v>43</v>
      </c>
      <c r="B14" s="45" t="s">
        <v>536</v>
      </c>
      <c r="C14" s="45" t="s">
        <v>555</v>
      </c>
      <c r="D14" s="45" t="s">
        <v>554</v>
      </c>
      <c r="E14" s="45" t="str">
        <f>"0,7155"</f>
        <v>0,7155</v>
      </c>
      <c r="F14" s="45" t="s">
        <v>23</v>
      </c>
      <c r="G14" s="45" t="s">
        <v>57</v>
      </c>
      <c r="H14" s="22" t="s">
        <v>293</v>
      </c>
      <c r="I14" s="51" t="s">
        <v>294</v>
      </c>
      <c r="J14" s="22" t="s">
        <v>294</v>
      </c>
      <c r="K14" s="46"/>
      <c r="L14" s="46" t="str">
        <f>"67,5"</f>
        <v>67,5</v>
      </c>
      <c r="M14" s="46" t="str">
        <f>"48,2962"</f>
        <v>48,2962</v>
      </c>
      <c r="N14" s="45" t="s">
        <v>582</v>
      </c>
    </row>
    <row r="15" ht="12.75">
      <c r="B15" s="30" t="s">
        <v>12</v>
      </c>
    </row>
    <row r="16" spans="1:13" ht="15">
      <c r="A16" s="66" t="s">
        <v>44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4" ht="12.75">
      <c r="A17" s="50" t="s">
        <v>43</v>
      </c>
      <c r="B17" s="49" t="s">
        <v>335</v>
      </c>
      <c r="C17" s="49" t="s">
        <v>336</v>
      </c>
      <c r="D17" s="49" t="s">
        <v>337</v>
      </c>
      <c r="E17" s="49" t="str">
        <f>"0,6290"</f>
        <v>0,6290</v>
      </c>
      <c r="F17" s="49" t="s">
        <v>23</v>
      </c>
      <c r="G17" s="49" t="s">
        <v>309</v>
      </c>
      <c r="H17" s="18" t="s">
        <v>126</v>
      </c>
      <c r="I17" s="18" t="s">
        <v>305</v>
      </c>
      <c r="J17" s="18" t="s">
        <v>156</v>
      </c>
      <c r="K17" s="50"/>
      <c r="L17" s="50" t="str">
        <f>"77,5"</f>
        <v>77,5</v>
      </c>
      <c r="M17" s="50" t="str">
        <f>"48,7475"</f>
        <v>48,7475</v>
      </c>
      <c r="N17" s="49" t="s">
        <v>582</v>
      </c>
    </row>
    <row r="18" spans="1:14" ht="12.75">
      <c r="A18" s="48" t="s">
        <v>84</v>
      </c>
      <c r="B18" s="47" t="s">
        <v>520</v>
      </c>
      <c r="C18" s="47" t="s">
        <v>524</v>
      </c>
      <c r="D18" s="47" t="s">
        <v>523</v>
      </c>
      <c r="E18" s="47" t="str">
        <f>"0,6550"</f>
        <v>0,6550</v>
      </c>
      <c r="F18" s="47" t="s">
        <v>23</v>
      </c>
      <c r="G18" s="47" t="s">
        <v>522</v>
      </c>
      <c r="H18" s="27" t="s">
        <v>521</v>
      </c>
      <c r="I18" s="27" t="s">
        <v>293</v>
      </c>
      <c r="J18" s="27" t="s">
        <v>294</v>
      </c>
      <c r="K18" s="48"/>
      <c r="L18" s="48" t="str">
        <f>"67,5"</f>
        <v>67,5</v>
      </c>
      <c r="M18" s="48" t="str">
        <f>"44,2125"</f>
        <v>44,2125</v>
      </c>
      <c r="N18" s="47" t="s">
        <v>582</v>
      </c>
    </row>
    <row r="19" spans="1:14" ht="12.75">
      <c r="A19" s="48" t="s">
        <v>407</v>
      </c>
      <c r="B19" s="47" t="s">
        <v>553</v>
      </c>
      <c r="C19" s="47" t="s">
        <v>552</v>
      </c>
      <c r="D19" s="47" t="s">
        <v>551</v>
      </c>
      <c r="E19" s="47" t="str">
        <f>"0,6430"</f>
        <v>0,6430</v>
      </c>
      <c r="F19" s="47" t="s">
        <v>23</v>
      </c>
      <c r="G19" s="47" t="s">
        <v>170</v>
      </c>
      <c r="H19" s="27" t="s">
        <v>521</v>
      </c>
      <c r="I19" s="27" t="s">
        <v>293</v>
      </c>
      <c r="J19" s="27" t="s">
        <v>126</v>
      </c>
      <c r="K19" s="48"/>
      <c r="L19" s="48" t="str">
        <f>"65,0"</f>
        <v>65,0</v>
      </c>
      <c r="M19" s="48" t="str">
        <f>"41,7950"</f>
        <v>41,7950</v>
      </c>
      <c r="N19" s="47" t="s">
        <v>582</v>
      </c>
    </row>
    <row r="20" spans="1:14" ht="12.75">
      <c r="A20" s="48" t="s">
        <v>408</v>
      </c>
      <c r="B20" s="47" t="s">
        <v>550</v>
      </c>
      <c r="C20" s="47" t="s">
        <v>549</v>
      </c>
      <c r="D20" s="47" t="s">
        <v>548</v>
      </c>
      <c r="E20" s="47" t="str">
        <f>"0,6273"</f>
        <v>0,6273</v>
      </c>
      <c r="F20" s="47" t="s">
        <v>23</v>
      </c>
      <c r="G20" s="47" t="s">
        <v>247</v>
      </c>
      <c r="H20" s="27" t="s">
        <v>547</v>
      </c>
      <c r="I20" s="27" t="s">
        <v>283</v>
      </c>
      <c r="J20" s="27" t="s">
        <v>521</v>
      </c>
      <c r="K20" s="48"/>
      <c r="L20" s="48" t="str">
        <f>"57,5"</f>
        <v>57,5</v>
      </c>
      <c r="M20" s="48" t="str">
        <f>"36,0698"</f>
        <v>36,0698</v>
      </c>
      <c r="N20" s="47" t="s">
        <v>582</v>
      </c>
    </row>
    <row r="21" spans="1:14" ht="12.75">
      <c r="A21" s="46" t="s">
        <v>43</v>
      </c>
      <c r="B21" s="45" t="s">
        <v>532</v>
      </c>
      <c r="C21" s="45" t="s">
        <v>546</v>
      </c>
      <c r="D21" s="45" t="s">
        <v>545</v>
      </c>
      <c r="E21" s="45" t="str">
        <f>"0,6399"</f>
        <v>0,6399</v>
      </c>
      <c r="F21" s="45" t="s">
        <v>23</v>
      </c>
      <c r="G21" s="45" t="s">
        <v>57</v>
      </c>
      <c r="H21" s="22" t="s">
        <v>287</v>
      </c>
      <c r="I21" s="22" t="s">
        <v>136</v>
      </c>
      <c r="J21" s="22" t="s">
        <v>283</v>
      </c>
      <c r="K21" s="46"/>
      <c r="L21" s="46" t="str">
        <f>"52,5"</f>
        <v>52,5</v>
      </c>
      <c r="M21" s="46" t="str">
        <f>"44,6810"</f>
        <v>44,6810</v>
      </c>
      <c r="N21" s="45" t="s">
        <v>582</v>
      </c>
    </row>
    <row r="22" ht="12.75">
      <c r="B22" s="30" t="s">
        <v>12</v>
      </c>
    </row>
    <row r="23" spans="1:13" ht="15">
      <c r="A23" s="66" t="s">
        <v>56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 ht="12.75">
      <c r="A24" s="38" t="s">
        <v>43</v>
      </c>
      <c r="B24" s="37" t="s">
        <v>533</v>
      </c>
      <c r="C24" s="37" t="s">
        <v>544</v>
      </c>
      <c r="D24" s="37" t="s">
        <v>543</v>
      </c>
      <c r="E24" s="37" t="str">
        <f>"0,5678"</f>
        <v>0,5678</v>
      </c>
      <c r="F24" s="37" t="s">
        <v>23</v>
      </c>
      <c r="G24" s="37" t="s">
        <v>542</v>
      </c>
      <c r="H24" s="11" t="s">
        <v>305</v>
      </c>
      <c r="I24" s="11" t="s">
        <v>128</v>
      </c>
      <c r="J24" s="44" t="s">
        <v>512</v>
      </c>
      <c r="K24" s="38"/>
      <c r="L24" s="38" t="str">
        <f>"80,0"</f>
        <v>80,0</v>
      </c>
      <c r="M24" s="38" t="str">
        <f>"45,8328"</f>
        <v>45,8328</v>
      </c>
      <c r="N24" s="37" t="s">
        <v>582</v>
      </c>
    </row>
    <row r="25" ht="12.75">
      <c r="B25" s="30" t="s">
        <v>12</v>
      </c>
    </row>
    <row r="26" spans="2:6" ht="15">
      <c r="B26" s="30" t="s">
        <v>12</v>
      </c>
      <c r="F26" s="36"/>
    </row>
    <row r="27" spans="2:6" ht="15">
      <c r="B27" s="30" t="s">
        <v>12</v>
      </c>
      <c r="F27" s="36"/>
    </row>
    <row r="28" spans="2:6" ht="15">
      <c r="B28" s="30" t="s">
        <v>12</v>
      </c>
      <c r="F28" s="36"/>
    </row>
    <row r="29" spans="2:6" ht="15">
      <c r="B29" s="30" t="s">
        <v>12</v>
      </c>
      <c r="F29" s="36"/>
    </row>
    <row r="30" spans="2:6" ht="15">
      <c r="B30" s="30" t="s">
        <v>12</v>
      </c>
      <c r="F30" s="36"/>
    </row>
    <row r="31" spans="2:6" ht="15">
      <c r="B31" s="30" t="s">
        <v>12</v>
      </c>
      <c r="F31" s="36"/>
    </row>
    <row r="32" spans="2:6" ht="15">
      <c r="B32" s="30" t="s">
        <v>12</v>
      </c>
      <c r="F32" s="36"/>
    </row>
    <row r="33" ht="12.75">
      <c r="B33" s="30" t="s">
        <v>12</v>
      </c>
    </row>
    <row r="34" spans="2:4" ht="18">
      <c r="B34" s="30" t="s">
        <v>12</v>
      </c>
      <c r="C34" s="35" t="s">
        <v>11</v>
      </c>
      <c r="D34" s="35"/>
    </row>
    <row r="35" spans="2:7" ht="15">
      <c r="B35" s="30" t="s">
        <v>12</v>
      </c>
      <c r="C35" s="16" t="s">
        <v>35</v>
      </c>
      <c r="D35" s="61"/>
      <c r="E35" s="56"/>
      <c r="F35" s="56"/>
      <c r="G35" s="56"/>
    </row>
    <row r="36" spans="2:4" ht="14.25">
      <c r="B36" s="30" t="s">
        <v>12</v>
      </c>
      <c r="C36" s="34"/>
      <c r="D36" s="34" t="s">
        <v>36</v>
      </c>
    </row>
    <row r="37" spans="2:7" ht="15">
      <c r="B37" s="30" t="s">
        <v>12</v>
      </c>
      <c r="C37" s="33" t="s">
        <v>37</v>
      </c>
      <c r="D37" s="33" t="s">
        <v>38</v>
      </c>
      <c r="E37" s="33" t="s">
        <v>39</v>
      </c>
      <c r="F37" s="33" t="s">
        <v>40</v>
      </c>
      <c r="G37" s="33" t="s">
        <v>41</v>
      </c>
    </row>
    <row r="38" spans="2:7" ht="12.75">
      <c r="B38" s="30" t="s">
        <v>12</v>
      </c>
      <c r="C38" s="30" t="s">
        <v>335</v>
      </c>
      <c r="D38" s="30" t="s">
        <v>36</v>
      </c>
      <c r="E38" s="31" t="s">
        <v>81</v>
      </c>
      <c r="F38" s="31" t="s">
        <v>156</v>
      </c>
      <c r="G38" s="31" t="s">
        <v>537</v>
      </c>
    </row>
    <row r="39" spans="2:7" ht="12.75">
      <c r="B39" s="30" t="s">
        <v>12</v>
      </c>
      <c r="C39" s="30" t="s">
        <v>536</v>
      </c>
      <c r="D39" s="30" t="s">
        <v>36</v>
      </c>
      <c r="E39" s="31" t="s">
        <v>202</v>
      </c>
      <c r="F39" s="31" t="s">
        <v>294</v>
      </c>
      <c r="G39" s="31" t="s">
        <v>535</v>
      </c>
    </row>
    <row r="40" spans="2:7" ht="12.75">
      <c r="B40" s="30" t="s">
        <v>12</v>
      </c>
      <c r="C40" s="30" t="s">
        <v>520</v>
      </c>
      <c r="D40" s="30" t="s">
        <v>36</v>
      </c>
      <c r="E40" s="31" t="s">
        <v>81</v>
      </c>
      <c r="F40" s="31" t="s">
        <v>294</v>
      </c>
      <c r="G40" s="31" t="s">
        <v>534</v>
      </c>
    </row>
    <row r="41" ht="12.75">
      <c r="B41" s="30" t="s">
        <v>12</v>
      </c>
    </row>
    <row r="42" spans="2:7" ht="15">
      <c r="B42" s="30" t="s">
        <v>12</v>
      </c>
      <c r="C42" s="61"/>
      <c r="D42" s="61"/>
      <c r="E42" s="56"/>
      <c r="F42" s="56"/>
      <c r="G42" s="56"/>
    </row>
    <row r="43" spans="2:7" ht="14.25">
      <c r="B43" s="30" t="s">
        <v>12</v>
      </c>
      <c r="C43" s="62"/>
      <c r="D43" s="62"/>
      <c r="E43" s="56"/>
      <c r="F43" s="56"/>
      <c r="G43" s="56"/>
    </row>
    <row r="44" spans="2:7" ht="15">
      <c r="B44" s="30" t="s">
        <v>12</v>
      </c>
      <c r="C44" s="63"/>
      <c r="D44" s="63"/>
      <c r="E44" s="63"/>
      <c r="F44" s="63"/>
      <c r="G44" s="63"/>
    </row>
    <row r="45" spans="2:7" ht="12.75">
      <c r="B45" s="30" t="s">
        <v>12</v>
      </c>
      <c r="C45" s="56"/>
      <c r="D45" s="56"/>
      <c r="E45" s="58"/>
      <c r="F45" s="58"/>
      <c r="G45" s="58"/>
    </row>
    <row r="46" spans="2:7" ht="12.75">
      <c r="B46" s="30" t="s">
        <v>12</v>
      </c>
      <c r="C46" s="56"/>
      <c r="D46" s="56"/>
      <c r="E46" s="58"/>
      <c r="F46" s="58"/>
      <c r="G46" s="58"/>
    </row>
    <row r="47" spans="2:7" ht="12.75">
      <c r="B47" s="30" t="s">
        <v>12</v>
      </c>
      <c r="C47" s="56"/>
      <c r="D47" s="56"/>
      <c r="E47" s="56"/>
      <c r="F47" s="56"/>
      <c r="G47" s="56"/>
    </row>
    <row r="48" spans="2:7" ht="14.25">
      <c r="B48" s="30" t="s">
        <v>12</v>
      </c>
      <c r="C48" s="62"/>
      <c r="D48" s="62"/>
      <c r="E48" s="56"/>
      <c r="F48" s="56"/>
      <c r="G48" s="56"/>
    </row>
    <row r="49" spans="2:7" ht="15">
      <c r="B49" s="30" t="s">
        <v>12</v>
      </c>
      <c r="C49" s="63"/>
      <c r="D49" s="63"/>
      <c r="E49" s="63"/>
      <c r="F49" s="63"/>
      <c r="G49" s="63"/>
    </row>
    <row r="50" spans="2:7" ht="12.75">
      <c r="B50" s="30" t="s">
        <v>12</v>
      </c>
      <c r="C50" s="56"/>
      <c r="D50" s="56"/>
      <c r="E50" s="58"/>
      <c r="F50" s="58"/>
      <c r="G50" s="58"/>
    </row>
    <row r="51" spans="2:7" ht="12.75">
      <c r="B51" s="30" t="s">
        <v>12</v>
      </c>
      <c r="C51" s="56"/>
      <c r="D51" s="56"/>
      <c r="E51" s="58"/>
      <c r="F51" s="58"/>
      <c r="G51" s="58"/>
    </row>
    <row r="52" spans="2:7" ht="12.75">
      <c r="B52" s="30" t="s">
        <v>12</v>
      </c>
      <c r="C52" s="56"/>
      <c r="D52" s="56"/>
      <c r="E52" s="58"/>
      <c r="F52" s="58"/>
      <c r="G52" s="58"/>
    </row>
    <row r="53" spans="2:7" ht="12.75">
      <c r="B53" s="30" t="s">
        <v>12</v>
      </c>
      <c r="C53" s="56"/>
      <c r="D53" s="56"/>
      <c r="E53" s="56"/>
      <c r="F53" s="56"/>
      <c r="G53" s="56"/>
    </row>
    <row r="54" spans="2:7" ht="14.25">
      <c r="B54" s="30" t="s">
        <v>12</v>
      </c>
      <c r="C54" s="62"/>
      <c r="D54" s="62"/>
      <c r="E54" s="56"/>
      <c r="F54" s="56"/>
      <c r="G54" s="56"/>
    </row>
    <row r="55" spans="2:7" ht="15">
      <c r="B55" s="30" t="s">
        <v>12</v>
      </c>
      <c r="C55" s="63"/>
      <c r="D55" s="63"/>
      <c r="E55" s="63"/>
      <c r="F55" s="63"/>
      <c r="G55" s="63"/>
    </row>
    <row r="56" spans="2:7" ht="12.75">
      <c r="B56" s="30" t="s">
        <v>12</v>
      </c>
      <c r="C56" s="56"/>
      <c r="D56" s="56"/>
      <c r="E56" s="58"/>
      <c r="F56" s="58"/>
      <c r="G56" s="58"/>
    </row>
    <row r="57" spans="2:7" ht="12.75">
      <c r="B57" s="30" t="s">
        <v>12</v>
      </c>
      <c r="C57" s="56"/>
      <c r="D57" s="56"/>
      <c r="E57" s="58"/>
      <c r="F57" s="58"/>
      <c r="G57" s="58"/>
    </row>
    <row r="58" spans="2:7" ht="12.75">
      <c r="B58" s="30" t="s">
        <v>12</v>
      </c>
      <c r="C58" s="56"/>
      <c r="D58" s="56"/>
      <c r="E58" s="56"/>
      <c r="F58" s="56"/>
      <c r="G58" s="56"/>
    </row>
    <row r="59" spans="3:7" ht="12.75">
      <c r="C59" s="56"/>
      <c r="D59" s="56"/>
      <c r="E59" s="56"/>
      <c r="F59" s="56"/>
      <c r="G59" s="56"/>
    </row>
    <row r="60" spans="3:7" ht="12.75">
      <c r="C60" s="56"/>
      <c r="D60" s="56"/>
      <c r="E60" s="56"/>
      <c r="F60" s="56"/>
      <c r="G60" s="56"/>
    </row>
  </sheetData>
  <sheetProtection/>
  <mergeCells count="17">
    <mergeCell ref="G3:G4"/>
    <mergeCell ref="H3:K3"/>
    <mergeCell ref="A16:M16"/>
    <mergeCell ref="A23:M23"/>
    <mergeCell ref="B3:B4"/>
    <mergeCell ref="L3:L4"/>
    <mergeCell ref="M3:M4"/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V2"/>
    </sheetView>
  </sheetViews>
  <sheetFormatPr defaultColWidth="8.75390625" defaultRowHeight="12.75"/>
  <cols>
    <col min="1" max="1" width="7.375" style="5" bestFit="1" customWidth="1"/>
    <col min="2" max="2" width="13.2539062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9.12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7.25390625" style="5" bestFit="1" customWidth="1"/>
    <col min="23" max="16384" width="8.75390625" style="3" customWidth="1"/>
  </cols>
  <sheetData>
    <row r="1" spans="1:22" s="2" customFormat="1" ht="28.5" customHeight="1">
      <c r="A1" s="86" t="s">
        <v>589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47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2" t="s">
        <v>43</v>
      </c>
      <c r="B6" s="10" t="s">
        <v>116</v>
      </c>
      <c r="C6" s="10" t="s">
        <v>117</v>
      </c>
      <c r="D6" s="10" t="s">
        <v>118</v>
      </c>
      <c r="E6" s="10" t="str">
        <f>"0,5889"</f>
        <v>0,5889</v>
      </c>
      <c r="F6" s="10" t="s">
        <v>583</v>
      </c>
      <c r="G6" s="10" t="s">
        <v>57</v>
      </c>
      <c r="H6" s="11" t="s">
        <v>79</v>
      </c>
      <c r="I6" s="11" t="s">
        <v>109</v>
      </c>
      <c r="J6" s="11" t="s">
        <v>66</v>
      </c>
      <c r="K6" s="12"/>
      <c r="L6" s="11" t="s">
        <v>101</v>
      </c>
      <c r="M6" s="13" t="s">
        <v>119</v>
      </c>
      <c r="N6" s="13" t="s">
        <v>119</v>
      </c>
      <c r="O6" s="12"/>
      <c r="P6" s="11" t="s">
        <v>33</v>
      </c>
      <c r="Q6" s="11" t="s">
        <v>55</v>
      </c>
      <c r="R6" s="13" t="s">
        <v>113</v>
      </c>
      <c r="S6" s="12"/>
      <c r="T6" s="12" t="str">
        <f>"595,0"</f>
        <v>595,0</v>
      </c>
      <c r="U6" s="12" t="str">
        <f>"350,3955"</f>
        <v>350,3955</v>
      </c>
      <c r="V6" s="10" t="s">
        <v>120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5">
    <mergeCell ref="L3:O3"/>
    <mergeCell ref="P3:S3"/>
    <mergeCell ref="T3:T4"/>
    <mergeCell ref="U3:U4"/>
    <mergeCell ref="V3:V4"/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12" sqref="L12"/>
    </sheetView>
  </sheetViews>
  <sheetFormatPr defaultColWidth="8.75390625" defaultRowHeight="12.75"/>
  <cols>
    <col min="1" max="1" width="7.375" style="30" bestFit="1" customWidth="1"/>
    <col min="2" max="2" width="15.0039062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29.125" style="30" bestFit="1" customWidth="1"/>
    <col min="8" max="10" width="5.625" style="31" bestFit="1" customWidth="1"/>
    <col min="11" max="11" width="4.875" style="31" bestFit="1" customWidth="1"/>
    <col min="12" max="12" width="11.25390625" style="31" bestFit="1" customWidth="1"/>
    <col min="13" max="13" width="7.625" style="31" bestFit="1" customWidth="1"/>
    <col min="14" max="14" width="15.125" style="30" bestFit="1" customWidth="1"/>
    <col min="15" max="16384" width="8.75390625" style="29" customWidth="1"/>
  </cols>
  <sheetData>
    <row r="1" spans="1:14" s="43" customFormat="1" ht="28.5" customHeight="1">
      <c r="A1" s="72" t="s">
        <v>565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15</v>
      </c>
      <c r="F3" s="70" t="s">
        <v>4</v>
      </c>
      <c r="G3" s="70" t="s">
        <v>8</v>
      </c>
      <c r="H3" s="70" t="s">
        <v>518</v>
      </c>
      <c r="I3" s="70"/>
      <c r="J3" s="70"/>
      <c r="K3" s="70"/>
      <c r="L3" s="70" t="s">
        <v>248</v>
      </c>
      <c r="M3" s="70" t="s">
        <v>3</v>
      </c>
      <c r="N3" s="82" t="s">
        <v>2</v>
      </c>
    </row>
    <row r="4" spans="1:14" s="40" customFormat="1" ht="21" customHeight="1" thickBot="1">
      <c r="A4" s="80"/>
      <c r="B4" s="68"/>
      <c r="C4" s="71"/>
      <c r="D4" s="71"/>
      <c r="E4" s="71"/>
      <c r="F4" s="71"/>
      <c r="G4" s="71"/>
      <c r="H4" s="42">
        <v>1</v>
      </c>
      <c r="I4" s="42">
        <v>2</v>
      </c>
      <c r="J4" s="42">
        <v>3</v>
      </c>
      <c r="K4" s="42" t="s">
        <v>5</v>
      </c>
      <c r="L4" s="71"/>
      <c r="M4" s="71"/>
      <c r="N4" s="83"/>
    </row>
    <row r="5" spans="1:13" ht="15">
      <c r="A5" s="69" t="s">
        <v>19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38" t="s">
        <v>43</v>
      </c>
      <c r="B6" s="37" t="s">
        <v>516</v>
      </c>
      <c r="C6" s="37" t="s">
        <v>515</v>
      </c>
      <c r="D6" s="37" t="s">
        <v>514</v>
      </c>
      <c r="E6" s="37" t="str">
        <f>"0,7297"</f>
        <v>0,7297</v>
      </c>
      <c r="F6" s="37" t="s">
        <v>23</v>
      </c>
      <c r="G6" s="37" t="s">
        <v>57</v>
      </c>
      <c r="H6" s="11" t="s">
        <v>128</v>
      </c>
      <c r="I6" s="44" t="s">
        <v>134</v>
      </c>
      <c r="J6" s="11" t="s">
        <v>134</v>
      </c>
      <c r="K6" s="38"/>
      <c r="L6" s="38" t="str">
        <f>"90,0"</f>
        <v>90,0</v>
      </c>
      <c r="M6" s="38" t="str">
        <f>"65,6730"</f>
        <v>65,6730</v>
      </c>
      <c r="N6" s="37" t="s">
        <v>582</v>
      </c>
    </row>
    <row r="7" ht="12.75">
      <c r="B7" s="30" t="s">
        <v>12</v>
      </c>
    </row>
    <row r="8" spans="1:13" ht="15">
      <c r="A8" s="66" t="s">
        <v>62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4" ht="12.75">
      <c r="A9" s="38" t="s">
        <v>43</v>
      </c>
      <c r="B9" s="37" t="s">
        <v>105</v>
      </c>
      <c r="C9" s="37" t="s">
        <v>106</v>
      </c>
      <c r="D9" s="37" t="s">
        <v>107</v>
      </c>
      <c r="E9" s="37" t="str">
        <f>"0,5292"</f>
        <v>0,5292</v>
      </c>
      <c r="F9" s="37" t="s">
        <v>23</v>
      </c>
      <c r="G9" s="37" t="s">
        <v>52</v>
      </c>
      <c r="H9" s="44" t="s">
        <v>101</v>
      </c>
      <c r="I9" s="11" t="s">
        <v>119</v>
      </c>
      <c r="J9" s="11" t="s">
        <v>102</v>
      </c>
      <c r="K9" s="38"/>
      <c r="L9" s="38" t="str">
        <f>"150,0"</f>
        <v>150,0</v>
      </c>
      <c r="M9" s="38" t="str">
        <f>"79,3800"</f>
        <v>79,3800</v>
      </c>
      <c r="N9" s="37" t="s">
        <v>582</v>
      </c>
    </row>
    <row r="10" ht="12.75">
      <c r="B10" s="30" t="s">
        <v>12</v>
      </c>
    </row>
    <row r="11" spans="2:7" ht="15">
      <c r="B11" s="30" t="s">
        <v>12</v>
      </c>
      <c r="C11" s="56"/>
      <c r="D11" s="56"/>
      <c r="E11" s="56"/>
      <c r="F11" s="57"/>
      <c r="G11" s="56"/>
    </row>
    <row r="12" spans="2:7" ht="15">
      <c r="B12" s="30" t="s">
        <v>12</v>
      </c>
      <c r="C12" s="56"/>
      <c r="D12" s="56"/>
      <c r="E12" s="56"/>
      <c r="F12" s="57"/>
      <c r="G12" s="56"/>
    </row>
    <row r="13" spans="2:7" ht="15">
      <c r="B13" s="30" t="s">
        <v>12</v>
      </c>
      <c r="C13" s="56"/>
      <c r="D13" s="56"/>
      <c r="E13" s="56"/>
      <c r="F13" s="57"/>
      <c r="G13" s="56"/>
    </row>
    <row r="14" spans="2:7" ht="15">
      <c r="B14" s="30" t="s">
        <v>12</v>
      </c>
      <c r="C14" s="56"/>
      <c r="D14" s="56"/>
      <c r="E14" s="56"/>
      <c r="F14" s="57"/>
      <c r="G14" s="56"/>
    </row>
    <row r="15" spans="2:7" ht="15">
      <c r="B15" s="30" t="s">
        <v>12</v>
      </c>
      <c r="C15" s="56"/>
      <c r="D15" s="56"/>
      <c r="E15" s="56"/>
      <c r="F15" s="57"/>
      <c r="G15" s="56"/>
    </row>
    <row r="16" spans="2:7" ht="15">
      <c r="B16" s="30" t="s">
        <v>12</v>
      </c>
      <c r="C16" s="56"/>
      <c r="D16" s="56"/>
      <c r="E16" s="56"/>
      <c r="F16" s="57"/>
      <c r="G16" s="56"/>
    </row>
    <row r="17" spans="2:7" ht="15">
      <c r="B17" s="30" t="s">
        <v>12</v>
      </c>
      <c r="C17" s="56"/>
      <c r="D17" s="56"/>
      <c r="E17" s="56"/>
      <c r="F17" s="57"/>
      <c r="G17" s="56"/>
    </row>
    <row r="18" spans="2:7" ht="12.75">
      <c r="B18" s="30" t="s">
        <v>12</v>
      </c>
      <c r="C18" s="56"/>
      <c r="D18" s="56"/>
      <c r="E18" s="56"/>
      <c r="F18" s="56"/>
      <c r="G18" s="56"/>
    </row>
    <row r="19" spans="2:7" ht="18">
      <c r="B19" s="30" t="s">
        <v>12</v>
      </c>
      <c r="C19" s="60"/>
      <c r="D19" s="60"/>
      <c r="E19" s="56"/>
      <c r="F19" s="56"/>
      <c r="G19" s="56"/>
    </row>
    <row r="20" spans="2:7" ht="15">
      <c r="B20" s="30" t="s">
        <v>12</v>
      </c>
      <c r="C20" s="61"/>
      <c r="D20" s="61"/>
      <c r="E20" s="56"/>
      <c r="F20" s="56"/>
      <c r="G20" s="56"/>
    </row>
    <row r="21" spans="2:7" ht="14.25">
      <c r="B21" s="30" t="s">
        <v>12</v>
      </c>
      <c r="C21" s="62"/>
      <c r="D21" s="62"/>
      <c r="E21" s="56"/>
      <c r="F21" s="56"/>
      <c r="G21" s="56"/>
    </row>
    <row r="22" spans="2:7" ht="15">
      <c r="B22" s="30" t="s">
        <v>12</v>
      </c>
      <c r="C22" s="63"/>
      <c r="D22" s="63"/>
      <c r="E22" s="63"/>
      <c r="F22" s="63"/>
      <c r="G22" s="63"/>
    </row>
    <row r="23" spans="2:7" ht="12.75">
      <c r="B23" s="30" t="s">
        <v>12</v>
      </c>
      <c r="C23" s="56"/>
      <c r="D23" s="56"/>
      <c r="E23" s="58"/>
      <c r="F23" s="58"/>
      <c r="G23" s="58"/>
    </row>
    <row r="24" spans="2:7" ht="12.75">
      <c r="B24" s="30" t="s">
        <v>12</v>
      </c>
      <c r="C24" s="56"/>
      <c r="D24" s="56"/>
      <c r="E24" s="58"/>
      <c r="F24" s="58"/>
      <c r="G24" s="58"/>
    </row>
    <row r="25" spans="2:7" ht="12.75">
      <c r="B25" s="30" t="s">
        <v>12</v>
      </c>
      <c r="C25" s="56"/>
      <c r="D25" s="56"/>
      <c r="E25" s="56"/>
      <c r="F25" s="56"/>
      <c r="G25" s="56"/>
    </row>
    <row r="26" spans="3:7" ht="12.75">
      <c r="C26" s="56"/>
      <c r="D26" s="56"/>
      <c r="E26" s="56"/>
      <c r="F26" s="56"/>
      <c r="G26" s="56"/>
    </row>
    <row r="27" spans="3:7" ht="12.75">
      <c r="C27" s="56"/>
      <c r="D27" s="56"/>
      <c r="E27" s="56"/>
      <c r="F27" s="56"/>
      <c r="G27" s="56"/>
    </row>
    <row r="28" spans="3:7" ht="12.75">
      <c r="C28" s="56"/>
      <c r="D28" s="56"/>
      <c r="E28" s="56"/>
      <c r="F28" s="56"/>
      <c r="G28" s="56"/>
    </row>
    <row r="29" spans="3:7" ht="12.75">
      <c r="C29" s="56"/>
      <c r="D29" s="56"/>
      <c r="E29" s="56"/>
      <c r="F29" s="56"/>
      <c r="G29" s="56"/>
    </row>
    <row r="30" spans="3:7" ht="12.75">
      <c r="C30" s="56"/>
      <c r="D30" s="56"/>
      <c r="E30" s="56"/>
      <c r="F30" s="56"/>
      <c r="G30" s="56"/>
    </row>
    <row r="31" spans="3:7" ht="12.75">
      <c r="C31" s="56"/>
      <c r="D31" s="56"/>
      <c r="E31" s="56"/>
      <c r="F31" s="56"/>
      <c r="G31" s="56"/>
    </row>
  </sheetData>
  <sheetProtection/>
  <mergeCells count="14">
    <mergeCell ref="G3:G4"/>
    <mergeCell ref="H3:K3"/>
    <mergeCell ref="L3:L4"/>
    <mergeCell ref="M3:M4"/>
    <mergeCell ref="N3:N4"/>
    <mergeCell ref="A5:M5"/>
    <mergeCell ref="A8:M8"/>
    <mergeCell ref="B3:B4"/>
    <mergeCell ref="A1:N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I15" sqref="I15"/>
    </sheetView>
  </sheetViews>
  <sheetFormatPr defaultColWidth="8.75390625" defaultRowHeight="12.75"/>
  <cols>
    <col min="1" max="1" width="7.375" style="30" bestFit="1" customWidth="1"/>
    <col min="2" max="2" width="18.37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17.25390625" style="30" bestFit="1" customWidth="1"/>
    <col min="8" max="10" width="4.625" style="31" bestFit="1" customWidth="1"/>
    <col min="11" max="11" width="4.875" style="31" bestFit="1" customWidth="1"/>
    <col min="12" max="12" width="11.25390625" style="31" bestFit="1" customWidth="1"/>
    <col min="13" max="13" width="7.625" style="31" bestFit="1" customWidth="1"/>
    <col min="14" max="14" width="15.125" style="30" bestFit="1" customWidth="1"/>
    <col min="15" max="16384" width="8.75390625" style="29" customWidth="1"/>
  </cols>
  <sheetData>
    <row r="1" spans="1:14" s="43" customFormat="1" ht="28.5" customHeight="1">
      <c r="A1" s="72" t="s">
        <v>566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15</v>
      </c>
      <c r="F3" s="70" t="s">
        <v>4</v>
      </c>
      <c r="G3" s="70" t="s">
        <v>8</v>
      </c>
      <c r="H3" s="70" t="s">
        <v>518</v>
      </c>
      <c r="I3" s="70"/>
      <c r="J3" s="70"/>
      <c r="K3" s="70"/>
      <c r="L3" s="70" t="s">
        <v>248</v>
      </c>
      <c r="M3" s="70" t="s">
        <v>3</v>
      </c>
      <c r="N3" s="82" t="s">
        <v>2</v>
      </c>
    </row>
    <row r="4" spans="1:14" s="40" customFormat="1" ht="21" customHeight="1" thickBot="1">
      <c r="A4" s="80"/>
      <c r="B4" s="68"/>
      <c r="C4" s="71"/>
      <c r="D4" s="71"/>
      <c r="E4" s="71"/>
      <c r="F4" s="71"/>
      <c r="G4" s="71"/>
      <c r="H4" s="42">
        <v>1</v>
      </c>
      <c r="I4" s="42">
        <v>2</v>
      </c>
      <c r="J4" s="42">
        <v>3</v>
      </c>
      <c r="K4" s="42" t="s">
        <v>5</v>
      </c>
      <c r="L4" s="71"/>
      <c r="M4" s="71"/>
      <c r="N4" s="83"/>
    </row>
    <row r="5" spans="1:13" ht="15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38" t="s">
        <v>43</v>
      </c>
      <c r="B6" s="37" t="s">
        <v>520</v>
      </c>
      <c r="C6" s="37" t="s">
        <v>524</v>
      </c>
      <c r="D6" s="37" t="s">
        <v>523</v>
      </c>
      <c r="E6" s="37" t="str">
        <f>"0,6550"</f>
        <v>0,6550</v>
      </c>
      <c r="F6" s="37" t="s">
        <v>23</v>
      </c>
      <c r="G6" s="37" t="s">
        <v>522</v>
      </c>
      <c r="H6" s="11" t="s">
        <v>128</v>
      </c>
      <c r="I6" s="11" t="s">
        <v>28</v>
      </c>
      <c r="J6" s="11" t="s">
        <v>496</v>
      </c>
      <c r="K6" s="38"/>
      <c r="L6" s="38" t="str">
        <f>"87,5"</f>
        <v>87,5</v>
      </c>
      <c r="M6" s="38" t="str">
        <f>"57,3125"</f>
        <v>57,3125</v>
      </c>
      <c r="N6" s="37" t="s">
        <v>582</v>
      </c>
    </row>
    <row r="7" ht="12.75">
      <c r="B7" s="30" t="s">
        <v>12</v>
      </c>
    </row>
    <row r="8" spans="2:9" ht="15">
      <c r="B8" s="30" t="s">
        <v>12</v>
      </c>
      <c r="C8" s="56"/>
      <c r="D8" s="56"/>
      <c r="E8" s="56"/>
      <c r="F8" s="57"/>
      <c r="G8" s="56"/>
      <c r="H8" s="58"/>
      <c r="I8" s="58"/>
    </row>
    <row r="9" spans="2:9" ht="15">
      <c r="B9" s="30" t="s">
        <v>12</v>
      </c>
      <c r="C9" s="56"/>
      <c r="D9" s="56"/>
      <c r="E9" s="56"/>
      <c r="F9" s="57"/>
      <c r="G9" s="56"/>
      <c r="H9" s="58"/>
      <c r="I9" s="58"/>
    </row>
    <row r="10" spans="2:9" ht="15">
      <c r="B10" s="30" t="s">
        <v>12</v>
      </c>
      <c r="C10" s="56"/>
      <c r="D10" s="56"/>
      <c r="E10" s="56"/>
      <c r="F10" s="57"/>
      <c r="G10" s="56"/>
      <c r="H10" s="58"/>
      <c r="I10" s="58"/>
    </row>
    <row r="11" spans="2:9" ht="15">
      <c r="B11" s="30" t="s">
        <v>12</v>
      </c>
      <c r="C11" s="56"/>
      <c r="D11" s="56"/>
      <c r="E11" s="56"/>
      <c r="F11" s="57"/>
      <c r="G11" s="56"/>
      <c r="H11" s="58"/>
      <c r="I11" s="58"/>
    </row>
    <row r="12" spans="2:9" ht="15">
      <c r="B12" s="30" t="s">
        <v>12</v>
      </c>
      <c r="C12" s="56"/>
      <c r="D12" s="56"/>
      <c r="E12" s="56"/>
      <c r="F12" s="57"/>
      <c r="G12" s="56"/>
      <c r="H12" s="58"/>
      <c r="I12" s="58"/>
    </row>
    <row r="13" spans="2:9" ht="15">
      <c r="B13" s="30" t="s">
        <v>12</v>
      </c>
      <c r="C13" s="56"/>
      <c r="D13" s="56"/>
      <c r="E13" s="56"/>
      <c r="F13" s="57"/>
      <c r="G13" s="56"/>
      <c r="H13" s="58"/>
      <c r="I13" s="58"/>
    </row>
    <row r="14" spans="2:9" ht="15">
      <c r="B14" s="30" t="s">
        <v>12</v>
      </c>
      <c r="C14" s="56"/>
      <c r="D14" s="56"/>
      <c r="E14" s="56"/>
      <c r="F14" s="57"/>
      <c r="G14" s="56"/>
      <c r="H14" s="58"/>
      <c r="I14" s="58"/>
    </row>
    <row r="15" spans="2:9" ht="12.75">
      <c r="B15" s="30" t="s">
        <v>12</v>
      </c>
      <c r="C15" s="56"/>
      <c r="D15" s="56"/>
      <c r="E15" s="56"/>
      <c r="F15" s="56"/>
      <c r="G15" s="56"/>
      <c r="H15" s="58"/>
      <c r="I15" s="58"/>
    </row>
    <row r="16" spans="2:9" ht="18">
      <c r="B16" s="30" t="s">
        <v>12</v>
      </c>
      <c r="C16" s="60"/>
      <c r="D16" s="60"/>
      <c r="E16" s="56"/>
      <c r="F16" s="56"/>
      <c r="G16" s="56"/>
      <c r="H16" s="58"/>
      <c r="I16" s="58"/>
    </row>
    <row r="17" spans="2:9" ht="15">
      <c r="B17" s="30" t="s">
        <v>12</v>
      </c>
      <c r="C17" s="61"/>
      <c r="D17" s="61"/>
      <c r="E17" s="56"/>
      <c r="F17" s="56"/>
      <c r="G17" s="56"/>
      <c r="H17" s="58"/>
      <c r="I17" s="58"/>
    </row>
    <row r="18" spans="2:9" ht="14.25">
      <c r="B18" s="30" t="s">
        <v>12</v>
      </c>
      <c r="C18" s="62"/>
      <c r="D18" s="62"/>
      <c r="E18" s="56"/>
      <c r="F18" s="56"/>
      <c r="G18" s="56"/>
      <c r="H18" s="58"/>
      <c r="I18" s="58"/>
    </row>
    <row r="19" spans="2:9" ht="15">
      <c r="B19" s="30" t="s">
        <v>12</v>
      </c>
      <c r="C19" s="63"/>
      <c r="D19" s="63"/>
      <c r="E19" s="63"/>
      <c r="F19" s="63"/>
      <c r="G19" s="63"/>
      <c r="H19" s="58"/>
      <c r="I19" s="58"/>
    </row>
    <row r="20" spans="2:9" ht="12.75">
      <c r="B20" s="30" t="s">
        <v>12</v>
      </c>
      <c r="C20" s="56"/>
      <c r="D20" s="56"/>
      <c r="E20" s="58"/>
      <c r="F20" s="58"/>
      <c r="G20" s="58"/>
      <c r="H20" s="58"/>
      <c r="I20" s="58"/>
    </row>
    <row r="21" spans="2:9" ht="12.75">
      <c r="B21" s="30" t="s">
        <v>12</v>
      </c>
      <c r="C21" s="56"/>
      <c r="D21" s="56"/>
      <c r="E21" s="56"/>
      <c r="F21" s="56"/>
      <c r="G21" s="56"/>
      <c r="H21" s="58"/>
      <c r="I21" s="58"/>
    </row>
    <row r="22" spans="3:9" ht="12.75">
      <c r="C22" s="56"/>
      <c r="D22" s="56"/>
      <c r="E22" s="56"/>
      <c r="F22" s="56"/>
      <c r="G22" s="56"/>
      <c r="H22" s="58"/>
      <c r="I22" s="58"/>
    </row>
  </sheetData>
  <sheetProtection/>
  <mergeCells count="13">
    <mergeCell ref="A5:M5"/>
    <mergeCell ref="B3:B4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11" sqref="G11"/>
    </sheetView>
  </sheetViews>
  <sheetFormatPr defaultColWidth="8.75390625" defaultRowHeight="12.75"/>
  <cols>
    <col min="1" max="1" width="7.375" style="30" bestFit="1" customWidth="1"/>
    <col min="2" max="2" width="18.37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27.25390625" style="30" bestFit="1" customWidth="1"/>
    <col min="8" max="8" width="5.625" style="31" bestFit="1" customWidth="1"/>
    <col min="9" max="9" width="10.375" style="32" bestFit="1" customWidth="1"/>
    <col min="10" max="10" width="8.875" style="31" bestFit="1" customWidth="1"/>
    <col min="11" max="11" width="7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571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570</v>
      </c>
      <c r="F3" s="70" t="s">
        <v>4</v>
      </c>
      <c r="G3" s="70" t="s">
        <v>8</v>
      </c>
      <c r="H3" s="70" t="s">
        <v>569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568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38" t="s">
        <v>43</v>
      </c>
      <c r="B6" s="37" t="s">
        <v>306</v>
      </c>
      <c r="C6" s="37" t="s">
        <v>307</v>
      </c>
      <c r="D6" s="37" t="s">
        <v>308</v>
      </c>
      <c r="E6" s="37" t="str">
        <f>"1,0000"</f>
        <v>1,0000</v>
      </c>
      <c r="F6" s="37" t="s">
        <v>23</v>
      </c>
      <c r="G6" s="37" t="s">
        <v>309</v>
      </c>
      <c r="H6" s="11" t="s">
        <v>139</v>
      </c>
      <c r="I6" s="39" t="s">
        <v>567</v>
      </c>
      <c r="J6" s="38" t="str">
        <f>"2400,0"</f>
        <v>2400,0</v>
      </c>
      <c r="K6" s="38" t="str">
        <f>"35,9820"</f>
        <v>35,9820</v>
      </c>
      <c r="L6" s="37" t="s">
        <v>582</v>
      </c>
    </row>
    <row r="7" ht="12.75">
      <c r="B7" s="30" t="s">
        <v>12</v>
      </c>
    </row>
    <row r="8" spans="2:8" ht="15">
      <c r="B8" s="30" t="s">
        <v>12</v>
      </c>
      <c r="C8" s="56"/>
      <c r="D8" s="56"/>
      <c r="E8" s="56"/>
      <c r="F8" s="57"/>
      <c r="G8" s="56"/>
      <c r="H8" s="58"/>
    </row>
    <row r="9" spans="2:8" ht="15">
      <c r="B9" s="30" t="s">
        <v>12</v>
      </c>
      <c r="C9" s="56"/>
      <c r="D9" s="56"/>
      <c r="E9" s="56"/>
      <c r="F9" s="57"/>
      <c r="G9" s="56"/>
      <c r="H9" s="58"/>
    </row>
    <row r="10" spans="2:8" ht="15">
      <c r="B10" s="30" t="s">
        <v>12</v>
      </c>
      <c r="C10" s="56"/>
      <c r="D10" s="56"/>
      <c r="E10" s="56"/>
      <c r="F10" s="57"/>
      <c r="G10" s="56"/>
      <c r="H10" s="58"/>
    </row>
    <row r="11" spans="2:8" ht="15">
      <c r="B11" s="30" t="s">
        <v>12</v>
      </c>
      <c r="C11" s="56"/>
      <c r="D11" s="56"/>
      <c r="E11" s="56"/>
      <c r="F11" s="57"/>
      <c r="G11" s="56"/>
      <c r="H11" s="58"/>
    </row>
    <row r="12" spans="2:8" ht="15">
      <c r="B12" s="30" t="s">
        <v>12</v>
      </c>
      <c r="C12" s="56"/>
      <c r="D12" s="56"/>
      <c r="E12" s="56"/>
      <c r="F12" s="57"/>
      <c r="G12" s="56"/>
      <c r="H12" s="58"/>
    </row>
    <row r="13" spans="2:8" ht="15">
      <c r="B13" s="30" t="s">
        <v>12</v>
      </c>
      <c r="C13" s="56"/>
      <c r="D13" s="56"/>
      <c r="E13" s="56"/>
      <c r="F13" s="57"/>
      <c r="G13" s="56"/>
      <c r="H13" s="58"/>
    </row>
    <row r="14" spans="2:8" ht="15">
      <c r="B14" s="30" t="s">
        <v>12</v>
      </c>
      <c r="C14" s="56"/>
      <c r="D14" s="56"/>
      <c r="E14" s="56"/>
      <c r="F14" s="57"/>
      <c r="G14" s="56"/>
      <c r="H14" s="58"/>
    </row>
    <row r="15" spans="2:8" ht="12.75">
      <c r="B15" s="30" t="s">
        <v>12</v>
      </c>
      <c r="C15" s="56"/>
      <c r="D15" s="56"/>
      <c r="E15" s="56"/>
      <c r="F15" s="56"/>
      <c r="G15" s="56"/>
      <c r="H15" s="58"/>
    </row>
    <row r="16" spans="2:8" ht="18">
      <c r="B16" s="30" t="s">
        <v>12</v>
      </c>
      <c r="C16" s="60"/>
      <c r="D16" s="60"/>
      <c r="E16" s="56"/>
      <c r="F16" s="56"/>
      <c r="G16" s="56"/>
      <c r="H16" s="58"/>
    </row>
    <row r="17" spans="2:8" ht="15">
      <c r="B17" s="30" t="s">
        <v>12</v>
      </c>
      <c r="C17" s="61"/>
      <c r="D17" s="61"/>
      <c r="E17" s="56"/>
      <c r="F17" s="56"/>
      <c r="G17" s="56"/>
      <c r="H17" s="58"/>
    </row>
    <row r="18" spans="2:8" ht="14.25">
      <c r="B18" s="30" t="s">
        <v>12</v>
      </c>
      <c r="C18" s="62"/>
      <c r="D18" s="62"/>
      <c r="E18" s="56"/>
      <c r="F18" s="56"/>
      <c r="G18" s="56"/>
      <c r="H18" s="58"/>
    </row>
    <row r="19" spans="2:8" ht="15">
      <c r="B19" s="30" t="s">
        <v>12</v>
      </c>
      <c r="C19" s="63"/>
      <c r="D19" s="63"/>
      <c r="E19" s="63"/>
      <c r="F19" s="63"/>
      <c r="G19" s="63"/>
      <c r="H19" s="58"/>
    </row>
    <row r="20" spans="2:8" ht="12.75">
      <c r="B20" s="30" t="s">
        <v>12</v>
      </c>
      <c r="C20" s="56"/>
      <c r="D20" s="56"/>
      <c r="E20" s="58"/>
      <c r="F20" s="58"/>
      <c r="G20" s="58"/>
      <c r="H20" s="58"/>
    </row>
    <row r="21" spans="2:8" ht="12.75">
      <c r="B21" s="30" t="s">
        <v>12</v>
      </c>
      <c r="C21" s="56"/>
      <c r="D21" s="56"/>
      <c r="E21" s="56"/>
      <c r="F21" s="56"/>
      <c r="G21" s="56"/>
      <c r="H21" s="58"/>
    </row>
    <row r="22" spans="3:8" ht="12.75">
      <c r="C22" s="56"/>
      <c r="D22" s="56"/>
      <c r="E22" s="56"/>
      <c r="F22" s="56"/>
      <c r="G22" s="56"/>
      <c r="H22" s="58"/>
    </row>
    <row r="23" spans="3:8" ht="12.75">
      <c r="C23" s="56"/>
      <c r="D23" s="56"/>
      <c r="E23" s="56"/>
      <c r="F23" s="56"/>
      <c r="G23" s="56"/>
      <c r="H23" s="58"/>
    </row>
    <row r="24" spans="3:8" ht="12.75">
      <c r="C24" s="56"/>
      <c r="D24" s="56"/>
      <c r="E24" s="56"/>
      <c r="F24" s="56"/>
      <c r="G24" s="56"/>
      <c r="H24" s="58"/>
    </row>
    <row r="25" spans="3:8" ht="12.75">
      <c r="C25" s="56"/>
      <c r="D25" s="56"/>
      <c r="E25" s="56"/>
      <c r="F25" s="56"/>
      <c r="G25" s="56"/>
      <c r="H25" s="58"/>
    </row>
  </sheetData>
  <sheetProtection/>
  <mergeCells count="13">
    <mergeCell ref="H3:I3"/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5" sqref="L1:L16384"/>
    </sheetView>
  </sheetViews>
  <sheetFormatPr defaultColWidth="8.75390625" defaultRowHeight="12.75"/>
  <cols>
    <col min="1" max="1" width="7.375" style="30" bestFit="1" customWidth="1"/>
    <col min="2" max="2" width="18.37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34.625" style="30" bestFit="1" customWidth="1"/>
    <col min="8" max="8" width="5.00390625" style="31" bestFit="1" customWidth="1"/>
    <col min="9" max="9" width="10.375" style="32" bestFit="1" customWidth="1"/>
    <col min="10" max="10" width="8.875" style="31" bestFit="1" customWidth="1"/>
    <col min="11" max="11" width="7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573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570</v>
      </c>
      <c r="F3" s="70" t="s">
        <v>4</v>
      </c>
      <c r="G3" s="70" t="s">
        <v>8</v>
      </c>
      <c r="H3" s="70" t="s">
        <v>569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568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38" t="s">
        <v>43</v>
      </c>
      <c r="B6" s="37" t="s">
        <v>122</v>
      </c>
      <c r="C6" s="37" t="s">
        <v>123</v>
      </c>
      <c r="D6" s="37" t="s">
        <v>124</v>
      </c>
      <c r="E6" s="37" t="str">
        <f>"1,0000"</f>
        <v>1,0000</v>
      </c>
      <c r="F6" s="37" t="s">
        <v>23</v>
      </c>
      <c r="G6" s="37" t="s">
        <v>125</v>
      </c>
      <c r="H6" s="11" t="s">
        <v>137</v>
      </c>
      <c r="I6" s="39" t="s">
        <v>572</v>
      </c>
      <c r="J6" s="38" t="str">
        <f>"2090,0"</f>
        <v>2090,0</v>
      </c>
      <c r="K6" s="38" t="str">
        <f>"38,0000"</f>
        <v>38,0000</v>
      </c>
      <c r="L6" s="37" t="s">
        <v>582</v>
      </c>
    </row>
    <row r="7" ht="12.75">
      <c r="B7" s="30" t="s">
        <v>12</v>
      </c>
    </row>
    <row r="8" spans="2:7" ht="15">
      <c r="B8" s="30" t="s">
        <v>12</v>
      </c>
      <c r="C8" s="56"/>
      <c r="D8" s="56"/>
      <c r="E8" s="56"/>
      <c r="F8" s="57"/>
      <c r="G8" s="56"/>
    </row>
    <row r="9" spans="2:7" ht="15">
      <c r="B9" s="30" t="s">
        <v>12</v>
      </c>
      <c r="C9" s="56"/>
      <c r="D9" s="56"/>
      <c r="E9" s="56"/>
      <c r="F9" s="57"/>
      <c r="G9" s="56"/>
    </row>
    <row r="10" spans="2:7" ht="15">
      <c r="B10" s="30" t="s">
        <v>12</v>
      </c>
      <c r="C10" s="56"/>
      <c r="D10" s="56"/>
      <c r="E10" s="56"/>
      <c r="F10" s="57"/>
      <c r="G10" s="56"/>
    </row>
    <row r="11" spans="2:7" ht="15">
      <c r="B11" s="30" t="s">
        <v>12</v>
      </c>
      <c r="C11" s="56"/>
      <c r="D11" s="56"/>
      <c r="E11" s="56"/>
      <c r="F11" s="57"/>
      <c r="G11" s="56"/>
    </row>
    <row r="12" spans="2:7" ht="15">
      <c r="B12" s="30" t="s">
        <v>12</v>
      </c>
      <c r="C12" s="56"/>
      <c r="D12" s="56"/>
      <c r="E12" s="56"/>
      <c r="F12" s="57"/>
      <c r="G12" s="56"/>
    </row>
    <row r="13" spans="2:7" ht="15">
      <c r="B13" s="30" t="s">
        <v>12</v>
      </c>
      <c r="C13" s="56"/>
      <c r="D13" s="56"/>
      <c r="E13" s="56"/>
      <c r="F13" s="57"/>
      <c r="G13" s="56"/>
    </row>
    <row r="14" spans="2:7" ht="15">
      <c r="B14" s="30" t="s">
        <v>12</v>
      </c>
      <c r="C14" s="56"/>
      <c r="D14" s="56"/>
      <c r="E14" s="56"/>
      <c r="F14" s="57"/>
      <c r="G14" s="56"/>
    </row>
    <row r="15" spans="2:7" ht="12.75">
      <c r="B15" s="30" t="s">
        <v>12</v>
      </c>
      <c r="C15" s="56"/>
      <c r="D15" s="56"/>
      <c r="E15" s="56"/>
      <c r="F15" s="56"/>
      <c r="G15" s="56"/>
    </row>
    <row r="16" spans="2:7" ht="18">
      <c r="B16" s="30" t="s">
        <v>12</v>
      </c>
      <c r="C16" s="60"/>
      <c r="D16" s="60"/>
      <c r="E16" s="56"/>
      <c r="F16" s="56"/>
      <c r="G16" s="56"/>
    </row>
    <row r="17" spans="2:7" ht="15">
      <c r="B17" s="30" t="s">
        <v>12</v>
      </c>
      <c r="C17" s="61"/>
      <c r="D17" s="61"/>
      <c r="E17" s="56"/>
      <c r="F17" s="56"/>
      <c r="G17" s="56"/>
    </row>
    <row r="18" spans="2:7" ht="14.25">
      <c r="B18" s="30" t="s">
        <v>12</v>
      </c>
      <c r="C18" s="62"/>
      <c r="D18" s="62"/>
      <c r="E18" s="56"/>
      <c r="F18" s="56"/>
      <c r="G18" s="56"/>
    </row>
    <row r="19" spans="2:7" ht="15">
      <c r="B19" s="30" t="s">
        <v>12</v>
      </c>
      <c r="C19" s="63"/>
      <c r="D19" s="63"/>
      <c r="E19" s="63"/>
      <c r="F19" s="63"/>
      <c r="G19" s="63"/>
    </row>
    <row r="20" spans="2:7" ht="12.75">
      <c r="B20" s="30" t="s">
        <v>12</v>
      </c>
      <c r="C20" s="56"/>
      <c r="D20" s="56"/>
      <c r="E20" s="58"/>
      <c r="F20" s="58"/>
      <c r="G20" s="58"/>
    </row>
    <row r="21" spans="2:7" ht="12.75">
      <c r="B21" s="30" t="s">
        <v>12</v>
      </c>
      <c r="C21" s="56"/>
      <c r="D21" s="56"/>
      <c r="E21" s="56"/>
      <c r="F21" s="56"/>
      <c r="G21" s="56"/>
    </row>
    <row r="22" spans="3:7" ht="12.75">
      <c r="C22" s="56"/>
      <c r="D22" s="56"/>
      <c r="E22" s="56"/>
      <c r="F22" s="56"/>
      <c r="G22" s="56"/>
    </row>
    <row r="23" spans="3:7" ht="12.75">
      <c r="C23" s="56"/>
      <c r="D23" s="56"/>
      <c r="E23" s="56"/>
      <c r="F23" s="56"/>
      <c r="G23" s="56"/>
    </row>
  </sheetData>
  <sheetProtection/>
  <mergeCells count="13">
    <mergeCell ref="H3:I3"/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12" sqref="G12"/>
    </sheetView>
  </sheetViews>
  <sheetFormatPr defaultColWidth="8.75390625" defaultRowHeight="12.75"/>
  <cols>
    <col min="1" max="1" width="7.375" style="30" bestFit="1" customWidth="1"/>
    <col min="2" max="2" width="14.125" style="30" bestFit="1" customWidth="1"/>
    <col min="3" max="3" width="28.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40.125" style="30" bestFit="1" customWidth="1"/>
    <col min="8" max="8" width="5.00390625" style="31" bestFit="1" customWidth="1"/>
    <col min="9" max="9" width="10.375" style="32" bestFit="1" customWidth="1"/>
    <col min="10" max="10" width="8.875" style="31" bestFit="1" customWidth="1"/>
    <col min="11" max="11" width="7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577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570</v>
      </c>
      <c r="F3" s="70" t="s">
        <v>4</v>
      </c>
      <c r="G3" s="70" t="s">
        <v>8</v>
      </c>
      <c r="H3" s="70" t="s">
        <v>576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568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38" t="s">
        <v>43</v>
      </c>
      <c r="B6" s="37" t="s">
        <v>574</v>
      </c>
      <c r="C6" s="37" t="s">
        <v>74</v>
      </c>
      <c r="D6" s="37" t="s">
        <v>575</v>
      </c>
      <c r="E6" s="37" t="str">
        <f>"1,0000"</f>
        <v>1,0000</v>
      </c>
      <c r="F6" s="37" t="s">
        <v>23</v>
      </c>
      <c r="G6" s="37" t="s">
        <v>75</v>
      </c>
      <c r="H6" s="11" t="s">
        <v>127</v>
      </c>
      <c r="I6" s="39" t="s">
        <v>491</v>
      </c>
      <c r="J6" s="38" t="str">
        <f>"2100,0"</f>
        <v>2100,0</v>
      </c>
      <c r="K6" s="38" t="str">
        <f>"22,9508"</f>
        <v>22,9508</v>
      </c>
      <c r="L6" s="37" t="s">
        <v>582</v>
      </c>
    </row>
    <row r="7" ht="12.75">
      <c r="B7" s="30" t="s">
        <v>12</v>
      </c>
    </row>
    <row r="8" spans="2:7" ht="15">
      <c r="B8" s="30" t="s">
        <v>12</v>
      </c>
      <c r="C8" s="56"/>
      <c r="D8" s="56"/>
      <c r="E8" s="56"/>
      <c r="F8" s="57"/>
      <c r="G8" s="56"/>
    </row>
    <row r="9" spans="2:7" ht="15">
      <c r="B9" s="30" t="s">
        <v>12</v>
      </c>
      <c r="C9" s="56"/>
      <c r="D9" s="56"/>
      <c r="E9" s="56"/>
      <c r="F9" s="57"/>
      <c r="G9" s="56"/>
    </row>
    <row r="10" spans="2:7" ht="15">
      <c r="B10" s="30" t="s">
        <v>12</v>
      </c>
      <c r="C10" s="56"/>
      <c r="D10" s="56"/>
      <c r="E10" s="56"/>
      <c r="F10" s="57"/>
      <c r="G10" s="56"/>
    </row>
    <row r="11" spans="2:7" ht="15">
      <c r="B11" s="30" t="s">
        <v>12</v>
      </c>
      <c r="C11" s="56"/>
      <c r="D11" s="56"/>
      <c r="E11" s="56"/>
      <c r="F11" s="57"/>
      <c r="G11" s="56"/>
    </row>
    <row r="12" spans="2:7" ht="15">
      <c r="B12" s="30" t="s">
        <v>12</v>
      </c>
      <c r="C12" s="56"/>
      <c r="D12" s="56"/>
      <c r="E12" s="56"/>
      <c r="F12" s="57"/>
      <c r="G12" s="56"/>
    </row>
    <row r="13" spans="2:7" ht="15">
      <c r="B13" s="30" t="s">
        <v>12</v>
      </c>
      <c r="C13" s="56"/>
      <c r="D13" s="56"/>
      <c r="E13" s="56"/>
      <c r="F13" s="57"/>
      <c r="G13" s="56"/>
    </row>
    <row r="14" spans="2:7" ht="15">
      <c r="B14" s="30" t="s">
        <v>12</v>
      </c>
      <c r="C14" s="56"/>
      <c r="D14" s="56"/>
      <c r="E14" s="56"/>
      <c r="F14" s="57"/>
      <c r="G14" s="56"/>
    </row>
    <row r="15" spans="2:7" ht="12.75">
      <c r="B15" s="30" t="s">
        <v>12</v>
      </c>
      <c r="C15" s="56"/>
      <c r="D15" s="56"/>
      <c r="E15" s="56"/>
      <c r="F15" s="56"/>
      <c r="G15" s="56"/>
    </row>
    <row r="16" spans="2:7" ht="18">
      <c r="B16" s="30" t="s">
        <v>12</v>
      </c>
      <c r="C16" s="60"/>
      <c r="D16" s="60"/>
      <c r="E16" s="56"/>
      <c r="F16" s="56"/>
      <c r="G16" s="56"/>
    </row>
    <row r="17" spans="2:7" ht="15">
      <c r="B17" s="30" t="s">
        <v>12</v>
      </c>
      <c r="C17" s="61"/>
      <c r="D17" s="61"/>
      <c r="E17" s="56"/>
      <c r="F17" s="56"/>
      <c r="G17" s="56"/>
    </row>
    <row r="18" spans="2:7" ht="14.25">
      <c r="B18" s="30" t="s">
        <v>12</v>
      </c>
      <c r="C18" s="62"/>
      <c r="D18" s="62"/>
      <c r="E18" s="56"/>
      <c r="F18" s="56"/>
      <c r="G18" s="56"/>
    </row>
    <row r="19" spans="2:7" ht="15">
      <c r="B19" s="30" t="s">
        <v>12</v>
      </c>
      <c r="C19" s="63"/>
      <c r="D19" s="63"/>
      <c r="E19" s="63"/>
      <c r="F19" s="63"/>
      <c r="G19" s="63"/>
    </row>
    <row r="20" spans="2:7" ht="12.75">
      <c r="B20" s="30" t="s">
        <v>12</v>
      </c>
      <c r="C20" s="56"/>
      <c r="D20" s="56"/>
      <c r="E20" s="58"/>
      <c r="F20" s="58"/>
      <c r="G20" s="58"/>
    </row>
    <row r="21" spans="2:7" ht="12.75">
      <c r="B21" s="30" t="s">
        <v>12</v>
      </c>
      <c r="C21" s="56"/>
      <c r="D21" s="56"/>
      <c r="E21" s="56"/>
      <c r="F21" s="56"/>
      <c r="G21" s="56"/>
    </row>
    <row r="22" spans="3:7" ht="12.75">
      <c r="C22" s="56"/>
      <c r="D22" s="56"/>
      <c r="E22" s="56"/>
      <c r="F22" s="56"/>
      <c r="G22" s="56"/>
    </row>
    <row r="23" spans="3:7" ht="12.75">
      <c r="C23" s="56"/>
      <c r="D23" s="56"/>
      <c r="E23" s="56"/>
      <c r="F23" s="56"/>
      <c r="G23" s="56"/>
    </row>
    <row r="24" spans="3:7" ht="12.75">
      <c r="C24" s="56"/>
      <c r="D24" s="56"/>
      <c r="E24" s="56"/>
      <c r="F24" s="56"/>
      <c r="G24" s="56"/>
    </row>
  </sheetData>
  <sheetProtection/>
  <mergeCells count="13">
    <mergeCell ref="H3:I3"/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11" sqref="K11"/>
    </sheetView>
  </sheetViews>
  <sheetFormatPr defaultColWidth="8.75390625" defaultRowHeight="12.75"/>
  <cols>
    <col min="1" max="1" width="7.375" style="30" bestFit="1" customWidth="1"/>
    <col min="2" max="2" width="16.375" style="30" bestFit="1" customWidth="1"/>
    <col min="3" max="3" width="28.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32.375" style="30" bestFit="1" customWidth="1"/>
    <col min="8" max="8" width="5.00390625" style="31" bestFit="1" customWidth="1"/>
    <col min="9" max="9" width="10.375" style="32" bestFit="1" customWidth="1"/>
    <col min="10" max="10" width="8.875" style="31" bestFit="1" customWidth="1"/>
    <col min="11" max="11" width="7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579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570</v>
      </c>
      <c r="F3" s="70" t="s">
        <v>4</v>
      </c>
      <c r="G3" s="70" t="s">
        <v>8</v>
      </c>
      <c r="H3" s="70" t="s">
        <v>576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568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50" t="s">
        <v>43</v>
      </c>
      <c r="B6" s="49" t="s">
        <v>444</v>
      </c>
      <c r="C6" s="49" t="s">
        <v>445</v>
      </c>
      <c r="D6" s="49" t="s">
        <v>174</v>
      </c>
      <c r="E6" s="49" t="str">
        <f>"1,0000"</f>
        <v>1,0000</v>
      </c>
      <c r="F6" s="49" t="s">
        <v>23</v>
      </c>
      <c r="G6" s="49" t="s">
        <v>240</v>
      </c>
      <c r="H6" s="18" t="s">
        <v>137</v>
      </c>
      <c r="I6" s="54" t="s">
        <v>578</v>
      </c>
      <c r="J6" s="50" t="str">
        <f>"2640,0"</f>
        <v>2640,0</v>
      </c>
      <c r="K6" s="50" t="str">
        <f>"35,8695"</f>
        <v>35,8695</v>
      </c>
      <c r="L6" s="49" t="s">
        <v>582</v>
      </c>
    </row>
    <row r="7" spans="1:12" ht="12.75">
      <c r="A7" s="46" t="s">
        <v>43</v>
      </c>
      <c r="B7" s="45" t="s">
        <v>351</v>
      </c>
      <c r="C7" s="45" t="s">
        <v>352</v>
      </c>
      <c r="D7" s="45" t="s">
        <v>353</v>
      </c>
      <c r="E7" s="45" t="str">
        <f>"1,0000"</f>
        <v>1,0000</v>
      </c>
      <c r="F7" s="45" t="s">
        <v>23</v>
      </c>
      <c r="G7" s="45" t="s">
        <v>354</v>
      </c>
      <c r="H7" s="22" t="s">
        <v>137</v>
      </c>
      <c r="I7" s="53" t="s">
        <v>547</v>
      </c>
      <c r="J7" s="46" t="str">
        <f>"2200,0"</f>
        <v>2200,0</v>
      </c>
      <c r="K7" s="46" t="str">
        <f>"28,5714"</f>
        <v>28,5714</v>
      </c>
      <c r="L7" s="45" t="s">
        <v>582</v>
      </c>
    </row>
    <row r="8" ht="12.75">
      <c r="B8" s="30" t="s">
        <v>12</v>
      </c>
    </row>
    <row r="9" spans="2:7" ht="15">
      <c r="B9" s="56"/>
      <c r="C9" s="56"/>
      <c r="D9" s="56"/>
      <c r="E9" s="56"/>
      <c r="F9" s="57"/>
      <c r="G9" s="56"/>
    </row>
    <row r="10" spans="2:7" ht="15">
      <c r="B10" s="56"/>
      <c r="C10" s="56"/>
      <c r="D10" s="56"/>
      <c r="E10" s="56"/>
      <c r="F10" s="57"/>
      <c r="G10" s="56"/>
    </row>
    <row r="11" spans="2:7" ht="15">
      <c r="B11" s="56"/>
      <c r="C11" s="56"/>
      <c r="D11" s="56"/>
      <c r="E11" s="56"/>
      <c r="F11" s="57"/>
      <c r="G11" s="56"/>
    </row>
    <row r="12" spans="2:7" ht="15">
      <c r="B12" s="56"/>
      <c r="C12" s="56"/>
      <c r="D12" s="56"/>
      <c r="E12" s="56"/>
      <c r="F12" s="57"/>
      <c r="G12" s="56"/>
    </row>
    <row r="13" spans="2:7" ht="15">
      <c r="B13" s="56"/>
      <c r="C13" s="56"/>
      <c r="D13" s="56"/>
      <c r="E13" s="56"/>
      <c r="F13" s="57"/>
      <c r="G13" s="56"/>
    </row>
    <row r="14" spans="2:7" ht="15">
      <c r="B14" s="56"/>
      <c r="C14" s="56"/>
      <c r="D14" s="56"/>
      <c r="E14" s="56"/>
      <c r="F14" s="57"/>
      <c r="G14" s="56"/>
    </row>
    <row r="15" spans="2:7" ht="15">
      <c r="B15" s="56"/>
      <c r="C15" s="56"/>
      <c r="D15" s="56"/>
      <c r="E15" s="56"/>
      <c r="F15" s="57"/>
      <c r="G15" s="56"/>
    </row>
    <row r="16" spans="2:7" ht="12.75">
      <c r="B16" s="56"/>
      <c r="C16" s="56"/>
      <c r="D16" s="56"/>
      <c r="E16" s="56"/>
      <c r="F16" s="56"/>
      <c r="G16" s="56"/>
    </row>
    <row r="17" spans="2:7" ht="18">
      <c r="B17" s="56"/>
      <c r="C17" s="60"/>
      <c r="D17" s="60"/>
      <c r="E17" s="56"/>
      <c r="F17" s="56"/>
      <c r="G17" s="56"/>
    </row>
    <row r="18" spans="2:7" ht="15">
      <c r="B18" s="56"/>
      <c r="C18" s="61"/>
      <c r="D18" s="61"/>
      <c r="E18" s="56"/>
      <c r="F18" s="56"/>
      <c r="G18" s="56"/>
    </row>
    <row r="19" spans="2:7" ht="14.25">
      <c r="B19" s="56"/>
      <c r="C19" s="62"/>
      <c r="D19" s="62"/>
      <c r="E19" s="56"/>
      <c r="F19" s="56"/>
      <c r="G19" s="56"/>
    </row>
    <row r="20" spans="2:7" ht="15">
      <c r="B20" s="56"/>
      <c r="C20" s="63"/>
      <c r="D20" s="63"/>
      <c r="E20" s="63"/>
      <c r="F20" s="63"/>
      <c r="G20" s="63"/>
    </row>
    <row r="21" spans="2:7" ht="12.75">
      <c r="B21" s="56"/>
      <c r="C21" s="56"/>
      <c r="D21" s="56"/>
      <c r="E21" s="58"/>
      <c r="F21" s="58"/>
      <c r="G21" s="58"/>
    </row>
    <row r="22" spans="2:7" ht="12.75">
      <c r="B22" s="56"/>
      <c r="C22" s="56"/>
      <c r="D22" s="56"/>
      <c r="E22" s="58"/>
      <c r="F22" s="58"/>
      <c r="G22" s="58"/>
    </row>
    <row r="23" spans="2:7" ht="12.75">
      <c r="B23" s="56"/>
      <c r="C23" s="56"/>
      <c r="D23" s="56"/>
      <c r="E23" s="56"/>
      <c r="F23" s="56"/>
      <c r="G23" s="56"/>
    </row>
  </sheetData>
  <sheetProtection/>
  <mergeCells count="13">
    <mergeCell ref="H3:I3"/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L11" sqref="L11"/>
    </sheetView>
  </sheetViews>
  <sheetFormatPr defaultColWidth="8.75390625" defaultRowHeight="12.75"/>
  <cols>
    <col min="1" max="1" width="7.375" style="30" bestFit="1" customWidth="1"/>
    <col min="2" max="2" width="15.875" style="30" bestFit="1" customWidth="1"/>
    <col min="3" max="3" width="26.25390625" style="30" bestFit="1" customWidth="1"/>
    <col min="4" max="4" width="21.375" style="30" bestFit="1" customWidth="1"/>
    <col min="5" max="5" width="10.625" style="30" bestFit="1" customWidth="1"/>
    <col min="6" max="6" width="22.75390625" style="30" bestFit="1" customWidth="1"/>
    <col min="7" max="7" width="29.125" style="30" bestFit="1" customWidth="1"/>
    <col min="8" max="8" width="5.00390625" style="31" bestFit="1" customWidth="1"/>
    <col min="9" max="9" width="10.375" style="32" bestFit="1" customWidth="1"/>
    <col min="10" max="10" width="8.875" style="31" bestFit="1" customWidth="1"/>
    <col min="11" max="11" width="7.625" style="31" bestFit="1" customWidth="1"/>
    <col min="12" max="12" width="15.125" style="30" bestFit="1" customWidth="1"/>
    <col min="13" max="16384" width="8.75390625" style="29" customWidth="1"/>
  </cols>
  <sheetData>
    <row r="1" spans="1:12" s="43" customFormat="1" ht="28.5" customHeight="1">
      <c r="A1" s="72" t="s">
        <v>581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43" customFormat="1" ht="61.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40" customFormat="1" ht="12.75" customHeight="1">
      <c r="A3" s="79" t="s">
        <v>13</v>
      </c>
      <c r="B3" s="67" t="s">
        <v>0</v>
      </c>
      <c r="C3" s="81" t="s">
        <v>6</v>
      </c>
      <c r="D3" s="81" t="s">
        <v>7</v>
      </c>
      <c r="E3" s="70" t="s">
        <v>570</v>
      </c>
      <c r="F3" s="70" t="s">
        <v>4</v>
      </c>
      <c r="G3" s="70" t="s">
        <v>8</v>
      </c>
      <c r="H3" s="70" t="s">
        <v>576</v>
      </c>
      <c r="I3" s="70"/>
      <c r="J3" s="70" t="s">
        <v>486</v>
      </c>
      <c r="K3" s="70" t="s">
        <v>3</v>
      </c>
      <c r="L3" s="82" t="s">
        <v>2</v>
      </c>
    </row>
    <row r="4" spans="1:12" s="40" customFormat="1" ht="21" customHeight="1" thickBot="1">
      <c r="A4" s="80"/>
      <c r="B4" s="68"/>
      <c r="C4" s="71"/>
      <c r="D4" s="71"/>
      <c r="E4" s="71"/>
      <c r="F4" s="71"/>
      <c r="G4" s="71"/>
      <c r="H4" s="42" t="s">
        <v>485</v>
      </c>
      <c r="I4" s="41" t="s">
        <v>484</v>
      </c>
      <c r="J4" s="71"/>
      <c r="K4" s="71"/>
      <c r="L4" s="83"/>
    </row>
    <row r="5" spans="1:11" ht="15">
      <c r="A5" s="69" t="s">
        <v>568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2" ht="12.75">
      <c r="A6" s="50" t="s">
        <v>43</v>
      </c>
      <c r="B6" s="49" t="s">
        <v>503</v>
      </c>
      <c r="C6" s="49" t="s">
        <v>502</v>
      </c>
      <c r="D6" s="49" t="s">
        <v>501</v>
      </c>
      <c r="E6" s="49" t="str">
        <f>"1,0000"</f>
        <v>1,0000</v>
      </c>
      <c r="F6" s="49" t="s">
        <v>23</v>
      </c>
      <c r="G6" s="49" t="s">
        <v>57</v>
      </c>
      <c r="H6" s="18" t="s">
        <v>276</v>
      </c>
      <c r="I6" s="54" t="s">
        <v>146</v>
      </c>
      <c r="J6" s="50" t="str">
        <f>"4200,0"</f>
        <v>4200,0</v>
      </c>
      <c r="K6" s="50" t="str">
        <f>"64,2201"</f>
        <v>64,2201</v>
      </c>
      <c r="L6" s="49" t="s">
        <v>582</v>
      </c>
    </row>
    <row r="7" spans="1:12" ht="12.75">
      <c r="A7" s="48" t="s">
        <v>84</v>
      </c>
      <c r="B7" s="47" t="s">
        <v>312</v>
      </c>
      <c r="C7" s="47" t="s">
        <v>313</v>
      </c>
      <c r="D7" s="47" t="s">
        <v>314</v>
      </c>
      <c r="E7" s="47" t="str">
        <f>"1,0000"</f>
        <v>1,0000</v>
      </c>
      <c r="F7" s="47" t="s">
        <v>23</v>
      </c>
      <c r="G7" s="47" t="s">
        <v>315</v>
      </c>
      <c r="H7" s="27" t="s">
        <v>276</v>
      </c>
      <c r="I7" s="55" t="s">
        <v>276</v>
      </c>
      <c r="J7" s="48" t="str">
        <f>"1225,0"</f>
        <v>1225,0</v>
      </c>
      <c r="K7" s="48" t="str">
        <f>"18,7022"</f>
        <v>18,7022</v>
      </c>
      <c r="L7" s="47" t="s">
        <v>582</v>
      </c>
    </row>
    <row r="8" spans="1:12" ht="12.75">
      <c r="A8" s="46" t="s">
        <v>407</v>
      </c>
      <c r="B8" s="45" t="s">
        <v>500</v>
      </c>
      <c r="C8" s="45" t="s">
        <v>499</v>
      </c>
      <c r="D8" s="45" t="s">
        <v>498</v>
      </c>
      <c r="E8" s="45" t="str">
        <f>"1,0000"</f>
        <v>1,0000</v>
      </c>
      <c r="F8" s="45" t="s">
        <v>23</v>
      </c>
      <c r="G8" s="45" t="s">
        <v>57</v>
      </c>
      <c r="H8" s="22" t="s">
        <v>276</v>
      </c>
      <c r="I8" s="53" t="s">
        <v>580</v>
      </c>
      <c r="J8" s="46" t="str">
        <f>"630,0"</f>
        <v>630,0</v>
      </c>
      <c r="K8" s="46" t="str">
        <f>"8,5365"</f>
        <v>8,5365</v>
      </c>
      <c r="L8" s="45" t="s">
        <v>582</v>
      </c>
    </row>
    <row r="9" ht="12.75">
      <c r="B9" s="30" t="s">
        <v>12</v>
      </c>
    </row>
    <row r="10" spans="2:12" ht="15">
      <c r="B10" s="30" t="s">
        <v>12</v>
      </c>
      <c r="C10" s="56"/>
      <c r="D10" s="56"/>
      <c r="E10" s="56"/>
      <c r="F10" s="57"/>
      <c r="G10" s="56"/>
      <c r="H10" s="58"/>
      <c r="I10" s="59"/>
      <c r="J10" s="58"/>
      <c r="K10" s="58"/>
      <c r="L10" s="56"/>
    </row>
    <row r="11" spans="2:12" ht="15">
      <c r="B11" s="30" t="s">
        <v>12</v>
      </c>
      <c r="C11" s="56"/>
      <c r="D11" s="56"/>
      <c r="E11" s="56"/>
      <c r="F11" s="57"/>
      <c r="G11" s="56"/>
      <c r="H11" s="58"/>
      <c r="I11" s="59"/>
      <c r="J11" s="58"/>
      <c r="K11" s="58"/>
      <c r="L11" s="56"/>
    </row>
    <row r="12" spans="2:12" ht="15">
      <c r="B12" s="30" t="s">
        <v>12</v>
      </c>
      <c r="C12" s="56"/>
      <c r="D12" s="56"/>
      <c r="E12" s="56"/>
      <c r="F12" s="57"/>
      <c r="G12" s="56"/>
      <c r="H12" s="58"/>
      <c r="I12" s="59"/>
      <c r="J12" s="58"/>
      <c r="K12" s="58"/>
      <c r="L12" s="56"/>
    </row>
    <row r="13" spans="2:12" ht="15">
      <c r="B13" s="30" t="s">
        <v>12</v>
      </c>
      <c r="C13" s="56"/>
      <c r="D13" s="56"/>
      <c r="E13" s="56"/>
      <c r="F13" s="57"/>
      <c r="G13" s="56"/>
      <c r="H13" s="58"/>
      <c r="I13" s="59"/>
      <c r="J13" s="58"/>
      <c r="K13" s="58"/>
      <c r="L13" s="56"/>
    </row>
    <row r="14" spans="2:12" ht="15">
      <c r="B14" s="30" t="s">
        <v>12</v>
      </c>
      <c r="C14" s="56"/>
      <c r="D14" s="56"/>
      <c r="E14" s="56"/>
      <c r="F14" s="57"/>
      <c r="G14" s="56"/>
      <c r="H14" s="58"/>
      <c r="I14" s="59"/>
      <c r="J14" s="58"/>
      <c r="K14" s="58"/>
      <c r="L14" s="56"/>
    </row>
    <row r="15" spans="2:12" ht="15">
      <c r="B15" s="30" t="s">
        <v>12</v>
      </c>
      <c r="C15" s="56"/>
      <c r="D15" s="56"/>
      <c r="E15" s="56"/>
      <c r="F15" s="57"/>
      <c r="G15" s="56"/>
      <c r="H15" s="58"/>
      <c r="I15" s="59"/>
      <c r="J15" s="58"/>
      <c r="K15" s="58"/>
      <c r="L15" s="56"/>
    </row>
    <row r="16" spans="2:12" ht="15">
      <c r="B16" s="30" t="s">
        <v>12</v>
      </c>
      <c r="C16" s="56"/>
      <c r="D16" s="56"/>
      <c r="E16" s="56"/>
      <c r="F16" s="57"/>
      <c r="G16" s="56"/>
      <c r="H16" s="58"/>
      <c r="I16" s="59"/>
      <c r="J16" s="58"/>
      <c r="K16" s="58"/>
      <c r="L16" s="56"/>
    </row>
    <row r="17" spans="2:12" ht="12.75">
      <c r="B17" s="30" t="s">
        <v>12</v>
      </c>
      <c r="C17" s="56"/>
      <c r="D17" s="56"/>
      <c r="E17" s="56"/>
      <c r="F17" s="56"/>
      <c r="G17" s="56"/>
      <c r="H17" s="58"/>
      <c r="I17" s="59"/>
      <c r="J17" s="58"/>
      <c r="K17" s="58"/>
      <c r="L17" s="56"/>
    </row>
    <row r="18" spans="2:12" ht="18">
      <c r="B18" s="30" t="s">
        <v>12</v>
      </c>
      <c r="C18" s="60"/>
      <c r="D18" s="60"/>
      <c r="E18" s="56"/>
      <c r="F18" s="56"/>
      <c r="G18" s="56"/>
      <c r="H18" s="58"/>
      <c r="I18" s="59"/>
      <c r="J18" s="58"/>
      <c r="K18" s="58"/>
      <c r="L18" s="56"/>
    </row>
    <row r="19" spans="2:12" ht="15">
      <c r="B19" s="30" t="s">
        <v>12</v>
      </c>
      <c r="C19" s="61"/>
      <c r="D19" s="61"/>
      <c r="E19" s="56"/>
      <c r="F19" s="56"/>
      <c r="G19" s="56"/>
      <c r="H19" s="58"/>
      <c r="I19" s="59"/>
      <c r="J19" s="58"/>
      <c r="K19" s="58"/>
      <c r="L19" s="56"/>
    </row>
    <row r="20" spans="2:12" ht="14.25">
      <c r="B20" s="30" t="s">
        <v>12</v>
      </c>
      <c r="C20" s="62"/>
      <c r="D20" s="62"/>
      <c r="E20" s="56"/>
      <c r="F20" s="56"/>
      <c r="G20" s="56"/>
      <c r="H20" s="58"/>
      <c r="I20" s="59"/>
      <c r="J20" s="58"/>
      <c r="K20" s="58"/>
      <c r="L20" s="56"/>
    </row>
    <row r="21" spans="2:12" ht="15">
      <c r="B21" s="30" t="s">
        <v>12</v>
      </c>
      <c r="C21" s="63"/>
      <c r="D21" s="63"/>
      <c r="E21" s="63"/>
      <c r="F21" s="63"/>
      <c r="G21" s="63"/>
      <c r="H21" s="58"/>
      <c r="I21" s="59"/>
      <c r="J21" s="58"/>
      <c r="K21" s="58"/>
      <c r="L21" s="56"/>
    </row>
    <row r="22" spans="2:12" ht="12.75">
      <c r="B22" s="30" t="s">
        <v>12</v>
      </c>
      <c r="C22" s="56"/>
      <c r="D22" s="56"/>
      <c r="E22" s="58"/>
      <c r="F22" s="58"/>
      <c r="G22" s="58"/>
      <c r="H22" s="58"/>
      <c r="I22" s="59"/>
      <c r="J22" s="58"/>
      <c r="K22" s="58"/>
      <c r="L22" s="56"/>
    </row>
    <row r="23" spans="2:12" ht="12.75">
      <c r="B23" s="30" t="s">
        <v>12</v>
      </c>
      <c r="C23" s="56"/>
      <c r="D23" s="56"/>
      <c r="E23" s="58"/>
      <c r="F23" s="58"/>
      <c r="G23" s="58"/>
      <c r="H23" s="58"/>
      <c r="I23" s="59"/>
      <c r="J23" s="58"/>
      <c r="K23" s="58"/>
      <c r="L23" s="56"/>
    </row>
    <row r="24" spans="2:12" ht="12.75">
      <c r="B24" s="30" t="s">
        <v>12</v>
      </c>
      <c r="C24" s="56"/>
      <c r="D24" s="56"/>
      <c r="E24" s="58"/>
      <c r="F24" s="58"/>
      <c r="G24" s="58"/>
      <c r="H24" s="58"/>
      <c r="I24" s="59"/>
      <c r="J24" s="58"/>
      <c r="K24" s="58"/>
      <c r="L24" s="56"/>
    </row>
    <row r="25" spans="2:12" ht="12.75">
      <c r="B25" s="30" t="s">
        <v>12</v>
      </c>
      <c r="C25" s="56"/>
      <c r="D25" s="56"/>
      <c r="E25" s="56"/>
      <c r="F25" s="56"/>
      <c r="G25" s="56"/>
      <c r="H25" s="58"/>
      <c r="I25" s="59"/>
      <c r="J25" s="58"/>
      <c r="K25" s="58"/>
      <c r="L25" s="56"/>
    </row>
    <row r="26" spans="3:12" ht="12.75">
      <c r="C26" s="56"/>
      <c r="D26" s="56"/>
      <c r="E26" s="56"/>
      <c r="F26" s="56"/>
      <c r="G26" s="56"/>
      <c r="H26" s="58"/>
      <c r="I26" s="59"/>
      <c r="J26" s="58"/>
      <c r="K26" s="58"/>
      <c r="L26" s="56"/>
    </row>
    <row r="27" spans="3:12" ht="12.75">
      <c r="C27" s="56"/>
      <c r="D27" s="56"/>
      <c r="E27" s="56"/>
      <c r="F27" s="56"/>
      <c r="G27" s="56"/>
      <c r="H27" s="58"/>
      <c r="I27" s="59"/>
      <c r="J27" s="58"/>
      <c r="K27" s="58"/>
      <c r="L27" s="56"/>
    </row>
    <row r="28" spans="3:12" ht="12.75">
      <c r="C28" s="56"/>
      <c r="D28" s="56"/>
      <c r="E28" s="56"/>
      <c r="F28" s="56"/>
      <c r="G28" s="56"/>
      <c r="H28" s="58"/>
      <c r="I28" s="59"/>
      <c r="J28" s="58"/>
      <c r="K28" s="58"/>
      <c r="L28" s="56"/>
    </row>
    <row r="29" spans="3:12" ht="12.75">
      <c r="C29" s="56"/>
      <c r="D29" s="56"/>
      <c r="E29" s="56"/>
      <c r="F29" s="56"/>
      <c r="G29" s="56"/>
      <c r="H29" s="58"/>
      <c r="I29" s="59"/>
      <c r="J29" s="58"/>
      <c r="K29" s="58"/>
      <c r="L29" s="56"/>
    </row>
    <row r="30" spans="3:12" ht="12.75">
      <c r="C30" s="56"/>
      <c r="D30" s="56"/>
      <c r="E30" s="56"/>
      <c r="F30" s="56"/>
      <c r="G30" s="56"/>
      <c r="H30" s="58"/>
      <c r="I30" s="59"/>
      <c r="J30" s="58"/>
      <c r="K30" s="58"/>
      <c r="L30" s="56"/>
    </row>
    <row r="31" spans="3:12" ht="12.75">
      <c r="C31" s="56"/>
      <c r="D31" s="56"/>
      <c r="E31" s="56"/>
      <c r="F31" s="56"/>
      <c r="G31" s="56"/>
      <c r="H31" s="58"/>
      <c r="I31" s="59"/>
      <c r="J31" s="58"/>
      <c r="K31" s="58"/>
      <c r="L31" s="56"/>
    </row>
  </sheetData>
  <sheetProtection/>
  <mergeCells count="13">
    <mergeCell ref="H3:I3"/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8" sqref="B18"/>
    </sheetView>
  </sheetViews>
  <sheetFormatPr defaultColWidth="8.875" defaultRowHeight="15.75" customHeight="1"/>
  <cols>
    <col min="1" max="1" width="20.625" style="0" bestFit="1" customWidth="1"/>
    <col min="2" max="2" width="37.125" style="0" bestFit="1" customWidth="1"/>
  </cols>
  <sheetData>
    <row r="1" spans="1:2" ht="30.75" customHeight="1">
      <c r="A1" s="101" t="s">
        <v>598</v>
      </c>
      <c r="B1" s="102"/>
    </row>
    <row r="2" spans="1:2" ht="32.25" customHeight="1">
      <c r="A2" s="103"/>
      <c r="B2" s="104"/>
    </row>
    <row r="3" spans="1:2" ht="15.75" customHeight="1">
      <c r="A3" s="65"/>
      <c r="B3" s="65"/>
    </row>
    <row r="4" spans="1:2" ht="15.75" customHeight="1">
      <c r="A4" s="64" t="s">
        <v>9</v>
      </c>
      <c r="B4" s="64" t="s">
        <v>594</v>
      </c>
    </row>
    <row r="5" spans="1:2" ht="15.75" customHeight="1">
      <c r="A5" s="64" t="s">
        <v>10</v>
      </c>
      <c r="B5" s="64" t="s">
        <v>597</v>
      </c>
    </row>
    <row r="6" spans="1:2" ht="15.75" customHeight="1">
      <c r="A6" s="64" t="s">
        <v>596</v>
      </c>
      <c r="B6" s="64" t="s">
        <v>595</v>
      </c>
    </row>
    <row r="7" spans="1:2" ht="15.75" customHeight="1">
      <c r="A7" s="64"/>
      <c r="B7" s="64" t="s">
        <v>594</v>
      </c>
    </row>
    <row r="8" spans="1:2" ht="15.75" customHeight="1">
      <c r="A8" s="64"/>
      <c r="B8" s="64" t="s">
        <v>593</v>
      </c>
    </row>
    <row r="9" spans="1:2" ht="15.75" customHeight="1">
      <c r="A9" s="64"/>
      <c r="B9" s="64" t="s">
        <v>592</v>
      </c>
    </row>
    <row r="10" spans="1:2" ht="15.75" customHeight="1">
      <c r="A10" s="64"/>
      <c r="B10" s="64" t="s">
        <v>599</v>
      </c>
    </row>
    <row r="11" ht="15.75" customHeight="1">
      <c r="B11" s="64" t="s">
        <v>600</v>
      </c>
    </row>
    <row r="12" ht="15.75" customHeight="1">
      <c r="B12" s="64" t="s">
        <v>601</v>
      </c>
    </row>
    <row r="13" ht="15.75" customHeight="1">
      <c r="B13" s="64" t="s">
        <v>603</v>
      </c>
    </row>
    <row r="14" ht="15.75" customHeight="1">
      <c r="B14" s="64" t="s">
        <v>602</v>
      </c>
    </row>
    <row r="15" ht="15.75" customHeight="1">
      <c r="B15" s="64" t="s">
        <v>597</v>
      </c>
    </row>
    <row r="16" ht="15.75" customHeight="1">
      <c r="B16" s="64" t="s">
        <v>604</v>
      </c>
    </row>
    <row r="17" ht="15.75" customHeight="1">
      <c r="B17" s="64" t="s">
        <v>605</v>
      </c>
    </row>
  </sheetData>
  <sheetProtection/>
  <mergeCells count="1">
    <mergeCell ref="A1:B2"/>
  </mergeCells>
  <printOptions/>
  <pageMargins left="0.699999988079071" right="0.699999988079071" top="0.75" bottom="0.75" header="0.300000011920929" footer="0.300000011920929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V2"/>
    </sheetView>
  </sheetViews>
  <sheetFormatPr defaultColWidth="8.75390625" defaultRowHeight="12.75"/>
  <cols>
    <col min="1" max="1" width="7.375" style="5" bestFit="1" customWidth="1"/>
    <col min="2" max="2" width="15.75390625" style="5" bestFit="1" customWidth="1"/>
    <col min="3" max="3" width="28.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7.37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5.125" style="5" bestFit="1" customWidth="1"/>
    <col min="23" max="16384" width="8.75390625" style="3" customWidth="1"/>
  </cols>
  <sheetData>
    <row r="1" spans="1:22" s="2" customFormat="1" ht="28.5" customHeight="1">
      <c r="A1" s="86" t="s">
        <v>590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62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2" t="s">
        <v>43</v>
      </c>
      <c r="B6" s="10" t="s">
        <v>234</v>
      </c>
      <c r="C6" s="10" t="s">
        <v>235</v>
      </c>
      <c r="D6" s="10" t="s">
        <v>107</v>
      </c>
      <c r="E6" s="10" t="str">
        <f>"0,5292"</f>
        <v>0,5292</v>
      </c>
      <c r="F6" s="10" t="s">
        <v>583</v>
      </c>
      <c r="G6" s="10" t="s">
        <v>98</v>
      </c>
      <c r="H6" s="11" t="s">
        <v>70</v>
      </c>
      <c r="I6" s="11" t="s">
        <v>48</v>
      </c>
      <c r="J6" s="13" t="s">
        <v>49</v>
      </c>
      <c r="K6" s="12"/>
      <c r="L6" s="11" t="s">
        <v>90</v>
      </c>
      <c r="M6" s="13" t="s">
        <v>46</v>
      </c>
      <c r="N6" s="11" t="s">
        <v>46</v>
      </c>
      <c r="O6" s="12"/>
      <c r="P6" s="11" t="s">
        <v>46</v>
      </c>
      <c r="Q6" s="13" t="s">
        <v>53</v>
      </c>
      <c r="R6" s="13" t="s">
        <v>53</v>
      </c>
      <c r="S6" s="12"/>
      <c r="T6" s="12" t="str">
        <f>"845,0"</f>
        <v>845,0</v>
      </c>
      <c r="U6" s="12" t="str">
        <f>"447,1740"</f>
        <v>447,1740</v>
      </c>
      <c r="V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5">
    <mergeCell ref="L3:O3"/>
    <mergeCell ref="P3:S3"/>
    <mergeCell ref="T3:T4"/>
    <mergeCell ref="U3:U4"/>
    <mergeCell ref="V3:V4"/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:V2"/>
    </sheetView>
  </sheetViews>
  <sheetFormatPr defaultColWidth="8.75390625" defaultRowHeight="12.75"/>
  <cols>
    <col min="1" max="1" width="7.375" style="5" bestFit="1" customWidth="1"/>
    <col min="2" max="2" width="15.75390625" style="5" bestFit="1" customWidth="1"/>
    <col min="3" max="3" width="27.7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9.12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6.25390625" style="5" bestFit="1" customWidth="1"/>
    <col min="23" max="16384" width="8.75390625" style="3" customWidth="1"/>
  </cols>
  <sheetData>
    <row r="1" spans="1:22" s="2" customFormat="1" ht="28.5" customHeight="1">
      <c r="A1" s="86" t="s">
        <v>591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19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0" t="s">
        <v>83</v>
      </c>
      <c r="B6" s="10" t="s">
        <v>91</v>
      </c>
      <c r="C6" s="10" t="s">
        <v>92</v>
      </c>
      <c r="D6" s="10" t="s">
        <v>22</v>
      </c>
      <c r="E6" s="10" t="str">
        <f>"0,7450"</f>
        <v>0,7450</v>
      </c>
      <c r="F6" s="10" t="s">
        <v>583</v>
      </c>
      <c r="G6" s="10" t="s">
        <v>57</v>
      </c>
      <c r="H6" s="13" t="s">
        <v>50</v>
      </c>
      <c r="I6" s="13" t="s">
        <v>93</v>
      </c>
      <c r="J6" s="13" t="s">
        <v>93</v>
      </c>
      <c r="K6" s="12"/>
      <c r="L6" s="13" t="s">
        <v>94</v>
      </c>
      <c r="M6" s="12"/>
      <c r="N6" s="12"/>
      <c r="O6" s="12"/>
      <c r="P6" s="13" t="s">
        <v>68</v>
      </c>
      <c r="Q6" s="12"/>
      <c r="R6" s="12"/>
      <c r="S6" s="12"/>
      <c r="T6" s="12" t="str">
        <f>"0.00"</f>
        <v>0.00</v>
      </c>
      <c r="U6" s="12" t="str">
        <f>"0,0000"</f>
        <v>0,0000</v>
      </c>
      <c r="V6" s="10" t="s">
        <v>582</v>
      </c>
    </row>
    <row r="7" ht="12.75">
      <c r="B7" s="5" t="s">
        <v>12</v>
      </c>
    </row>
    <row r="8" spans="1:21" ht="15">
      <c r="A8" s="84" t="s">
        <v>47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2" ht="12.75">
      <c r="A9" s="12" t="s">
        <v>43</v>
      </c>
      <c r="B9" s="10" t="s">
        <v>95</v>
      </c>
      <c r="C9" s="10" t="s">
        <v>96</v>
      </c>
      <c r="D9" s="10" t="s">
        <v>97</v>
      </c>
      <c r="E9" s="10" t="str">
        <f>"0,6112"</f>
        <v>0,6112</v>
      </c>
      <c r="F9" s="10" t="s">
        <v>583</v>
      </c>
      <c r="G9" s="10" t="s">
        <v>98</v>
      </c>
      <c r="H9" s="11" t="s">
        <v>55</v>
      </c>
      <c r="I9" s="11" t="s">
        <v>64</v>
      </c>
      <c r="J9" s="11" t="s">
        <v>99</v>
      </c>
      <c r="K9" s="12"/>
      <c r="L9" s="11" t="s">
        <v>100</v>
      </c>
      <c r="M9" s="11" t="s">
        <v>101</v>
      </c>
      <c r="N9" s="13" t="s">
        <v>102</v>
      </c>
      <c r="O9" s="12"/>
      <c r="P9" s="11" t="s">
        <v>66</v>
      </c>
      <c r="Q9" s="11" t="s">
        <v>103</v>
      </c>
      <c r="R9" s="13" t="s">
        <v>46</v>
      </c>
      <c r="S9" s="12"/>
      <c r="T9" s="12" t="str">
        <f>"630,0"</f>
        <v>630,0</v>
      </c>
      <c r="U9" s="12" t="str">
        <f>"400,4582"</f>
        <v>400,4582</v>
      </c>
      <c r="V9" s="10" t="s">
        <v>104</v>
      </c>
    </row>
    <row r="10" ht="12.75">
      <c r="B10" s="5" t="s">
        <v>12</v>
      </c>
    </row>
    <row r="11" spans="1:21" ht="15">
      <c r="A11" s="84" t="s">
        <v>62</v>
      </c>
      <c r="B11" s="8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2" ht="12.75">
      <c r="A12" s="12" t="s">
        <v>43</v>
      </c>
      <c r="B12" s="10" t="s">
        <v>105</v>
      </c>
      <c r="C12" s="10" t="s">
        <v>106</v>
      </c>
      <c r="D12" s="10" t="s">
        <v>107</v>
      </c>
      <c r="E12" s="10" t="str">
        <f>"0,5292"</f>
        <v>0,5292</v>
      </c>
      <c r="F12" s="10" t="s">
        <v>583</v>
      </c>
      <c r="G12" s="10" t="s">
        <v>52</v>
      </c>
      <c r="H12" s="11" t="s">
        <v>103</v>
      </c>
      <c r="I12" s="11" t="s">
        <v>108</v>
      </c>
      <c r="J12" s="11" t="s">
        <v>54</v>
      </c>
      <c r="K12" s="12"/>
      <c r="L12" s="11" t="s">
        <v>64</v>
      </c>
      <c r="M12" s="11" t="s">
        <v>109</v>
      </c>
      <c r="N12" s="11" t="s">
        <v>66</v>
      </c>
      <c r="O12" s="12"/>
      <c r="P12" s="11" t="s">
        <v>90</v>
      </c>
      <c r="Q12" s="13" t="s">
        <v>45</v>
      </c>
      <c r="R12" s="13" t="s">
        <v>108</v>
      </c>
      <c r="S12" s="12"/>
      <c r="T12" s="12" t="str">
        <f>"790,0"</f>
        <v>790,0</v>
      </c>
      <c r="U12" s="12" t="str">
        <f>"418,0680"</f>
        <v>418,0680</v>
      </c>
      <c r="V12" s="10" t="s">
        <v>582</v>
      </c>
    </row>
    <row r="13" ht="12.75">
      <c r="B13" s="5" t="s">
        <v>12</v>
      </c>
    </row>
    <row r="14" spans="1:21" ht="15">
      <c r="A14" s="84" t="s">
        <v>71</v>
      </c>
      <c r="B14" s="84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</row>
    <row r="15" spans="1:22" ht="12.75">
      <c r="A15" s="12" t="s">
        <v>43</v>
      </c>
      <c r="B15" s="10" t="s">
        <v>110</v>
      </c>
      <c r="C15" s="10" t="s">
        <v>111</v>
      </c>
      <c r="D15" s="10" t="s">
        <v>112</v>
      </c>
      <c r="E15" s="10" t="str">
        <f>"0,5084"</f>
        <v>0,5084</v>
      </c>
      <c r="F15" s="10" t="s">
        <v>583</v>
      </c>
      <c r="G15" s="10" t="s">
        <v>57</v>
      </c>
      <c r="H15" s="11" t="s">
        <v>113</v>
      </c>
      <c r="I15" s="11" t="s">
        <v>66</v>
      </c>
      <c r="J15" s="13" t="s">
        <v>45</v>
      </c>
      <c r="K15" s="12"/>
      <c r="L15" s="11" t="s">
        <v>102</v>
      </c>
      <c r="M15" s="11" t="s">
        <v>72</v>
      </c>
      <c r="N15" s="11" t="s">
        <v>31</v>
      </c>
      <c r="O15" s="12"/>
      <c r="P15" s="11" t="s">
        <v>64</v>
      </c>
      <c r="Q15" s="11" t="s">
        <v>66</v>
      </c>
      <c r="R15" s="13" t="s">
        <v>90</v>
      </c>
      <c r="S15" s="12"/>
      <c r="T15" s="12" t="str">
        <f>"650,0"</f>
        <v>650,0</v>
      </c>
      <c r="U15" s="12" t="str">
        <f>"330,4925"</f>
        <v>330,4925</v>
      </c>
      <c r="V15" s="10" t="s">
        <v>582</v>
      </c>
    </row>
    <row r="16" ht="12.75">
      <c r="B16" s="5" t="s">
        <v>12</v>
      </c>
    </row>
    <row r="17" spans="2:6" ht="15">
      <c r="B17" s="5" t="s">
        <v>12</v>
      </c>
      <c r="F17" s="7"/>
    </row>
    <row r="18" spans="2:6" ht="15">
      <c r="B18" s="5" t="s">
        <v>12</v>
      </c>
      <c r="F18" s="7"/>
    </row>
    <row r="19" spans="2:6" ht="15">
      <c r="B19" s="5" t="s">
        <v>12</v>
      </c>
      <c r="F19" s="7"/>
    </row>
    <row r="20" spans="2:6" ht="15">
      <c r="B20" s="5" t="s">
        <v>12</v>
      </c>
      <c r="F20" s="7"/>
    </row>
    <row r="21" spans="2:6" ht="15">
      <c r="B21" s="5" t="s">
        <v>12</v>
      </c>
      <c r="F21" s="7"/>
    </row>
    <row r="22" spans="2:6" ht="15">
      <c r="B22" s="5" t="s">
        <v>12</v>
      </c>
      <c r="F22" s="7"/>
    </row>
    <row r="23" spans="2:6" ht="15">
      <c r="B23" s="5" t="s">
        <v>12</v>
      </c>
      <c r="F23" s="7"/>
    </row>
    <row r="24" ht="12.75">
      <c r="B24" s="5" t="s">
        <v>12</v>
      </c>
    </row>
    <row r="25" spans="2:4" ht="18">
      <c r="B25" s="5" t="s">
        <v>12</v>
      </c>
      <c r="C25" s="8"/>
      <c r="D25" s="8"/>
    </row>
    <row r="26" spans="2:4" ht="15">
      <c r="B26" s="5" t="s">
        <v>12</v>
      </c>
      <c r="C26" s="14"/>
      <c r="D26" s="14"/>
    </row>
    <row r="27" spans="2:4" ht="14.25">
      <c r="B27" s="5" t="s">
        <v>12</v>
      </c>
      <c r="C27" s="15"/>
      <c r="D27" s="15"/>
    </row>
    <row r="28" spans="2:7" ht="15">
      <c r="B28" s="5" t="s">
        <v>12</v>
      </c>
      <c r="C28" s="1"/>
      <c r="D28" s="1"/>
      <c r="E28" s="1"/>
      <c r="F28" s="1"/>
      <c r="G28" s="1"/>
    </row>
    <row r="29" spans="2:7" ht="12.75">
      <c r="B29" s="5" t="s">
        <v>12</v>
      </c>
      <c r="E29" s="6"/>
      <c r="F29" s="6"/>
      <c r="G29" s="6"/>
    </row>
    <row r="30" ht="12.75">
      <c r="B30" s="5" t="s">
        <v>12</v>
      </c>
    </row>
    <row r="31" spans="2:4" ht="14.25">
      <c r="B31" s="5" t="s">
        <v>12</v>
      </c>
      <c r="C31" s="15"/>
      <c r="D31" s="15"/>
    </row>
    <row r="32" spans="2:7" ht="15">
      <c r="B32" s="5" t="s">
        <v>12</v>
      </c>
      <c r="C32" s="1"/>
      <c r="D32" s="1"/>
      <c r="E32" s="1"/>
      <c r="F32" s="1"/>
      <c r="G32" s="1"/>
    </row>
    <row r="33" spans="2:7" ht="12.75">
      <c r="B33" s="5" t="s">
        <v>12</v>
      </c>
      <c r="E33" s="6"/>
      <c r="F33" s="6"/>
      <c r="G33" s="6"/>
    </row>
    <row r="34" spans="2:7" ht="12.75">
      <c r="B34" s="5" t="s">
        <v>12</v>
      </c>
      <c r="E34" s="6"/>
      <c r="F34" s="6"/>
      <c r="G34" s="6"/>
    </row>
    <row r="35" ht="12.75">
      <c r="B35" s="5" t="s">
        <v>12</v>
      </c>
    </row>
  </sheetData>
  <sheetProtection/>
  <mergeCells count="18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14:U14"/>
    <mergeCell ref="B3:B4"/>
    <mergeCell ref="T3:T4"/>
    <mergeCell ref="U3:U4"/>
    <mergeCell ref="V3:V4"/>
    <mergeCell ref="A5:U5"/>
    <mergeCell ref="A8:U8"/>
    <mergeCell ref="A11:U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F11" sqref="F11"/>
    </sheetView>
  </sheetViews>
  <sheetFormatPr defaultColWidth="8.75390625" defaultRowHeight="12.75"/>
  <cols>
    <col min="1" max="1" width="7.375" style="5" bestFit="1" customWidth="1"/>
    <col min="2" max="2" width="19.7539062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9.12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8.875" style="5" bestFit="1" customWidth="1"/>
    <col min="23" max="16384" width="8.75390625" style="3" customWidth="1"/>
  </cols>
  <sheetData>
    <row r="1" spans="1:22" s="2" customFormat="1" ht="28.5" customHeight="1">
      <c r="A1" s="86" t="s">
        <v>85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44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2" t="s">
        <v>43</v>
      </c>
      <c r="B6" s="10" t="s">
        <v>86</v>
      </c>
      <c r="C6" s="10" t="s">
        <v>87</v>
      </c>
      <c r="D6" s="10" t="s">
        <v>88</v>
      </c>
      <c r="E6" s="10" t="str">
        <f>"0,6203"</f>
        <v>0,6203</v>
      </c>
      <c r="F6" s="10" t="s">
        <v>583</v>
      </c>
      <c r="G6" s="10" t="s">
        <v>57</v>
      </c>
      <c r="H6" s="13" t="s">
        <v>89</v>
      </c>
      <c r="I6" s="11" t="s">
        <v>89</v>
      </c>
      <c r="J6" s="11" t="s">
        <v>90</v>
      </c>
      <c r="K6" s="12"/>
      <c r="L6" s="11" t="s">
        <v>32</v>
      </c>
      <c r="M6" s="11" t="s">
        <v>77</v>
      </c>
      <c r="N6" s="13" t="s">
        <v>78</v>
      </c>
      <c r="O6" s="12"/>
      <c r="P6" s="13" t="s">
        <v>66</v>
      </c>
      <c r="Q6" s="11" t="s">
        <v>66</v>
      </c>
      <c r="R6" s="13" t="s">
        <v>45</v>
      </c>
      <c r="S6" s="12"/>
      <c r="T6" s="12" t="str">
        <f>"685,0"</f>
        <v>685,0</v>
      </c>
      <c r="U6" s="12" t="str">
        <f>"424,9055"</f>
        <v>424,9055</v>
      </c>
      <c r="V6" s="10" t="s">
        <v>34</v>
      </c>
    </row>
    <row r="7" ht="12.75">
      <c r="B7" s="5" t="s">
        <v>12</v>
      </c>
    </row>
    <row r="8" ht="15">
      <c r="F8" s="7"/>
    </row>
    <row r="9" ht="15">
      <c r="F9" s="7"/>
    </row>
    <row r="10" ht="15">
      <c r="F10" s="7"/>
    </row>
    <row r="11" ht="15">
      <c r="F11" s="7"/>
    </row>
    <row r="12" ht="15">
      <c r="F12" s="7"/>
    </row>
    <row r="13" ht="15">
      <c r="F13" s="7"/>
    </row>
    <row r="14" ht="15">
      <c r="F14" s="7"/>
    </row>
    <row r="16" spans="3:4" ht="18">
      <c r="C16" s="8"/>
      <c r="D16" s="8"/>
    </row>
    <row r="17" spans="3:4" ht="15">
      <c r="C17" s="14"/>
      <c r="D17" s="14"/>
    </row>
    <row r="18" spans="3:4" ht="14.25">
      <c r="C18" s="15"/>
      <c r="D18" s="15"/>
    </row>
    <row r="19" spans="3:7" ht="15">
      <c r="C19" s="1"/>
      <c r="D19" s="1"/>
      <c r="E19" s="1"/>
      <c r="F19" s="1"/>
      <c r="G19" s="1"/>
    </row>
    <row r="20" spans="5:7" ht="12.75">
      <c r="E20" s="6"/>
      <c r="F20" s="6"/>
      <c r="G20" s="6"/>
    </row>
  </sheetData>
  <sheetProtection/>
  <mergeCells count="15">
    <mergeCell ref="L3:O3"/>
    <mergeCell ref="P3:S3"/>
    <mergeCell ref="T3:T4"/>
    <mergeCell ref="U3:U4"/>
    <mergeCell ref="V3:V4"/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C1">
      <selection activeCell="F11" sqref="F11"/>
    </sheetView>
  </sheetViews>
  <sheetFormatPr defaultColWidth="8.75390625" defaultRowHeight="12.75"/>
  <cols>
    <col min="1" max="1" width="7.375" style="5" bestFit="1" customWidth="1"/>
    <col min="2" max="2" width="18.87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17.25390625" style="5" bestFit="1" customWidth="1"/>
    <col min="8" max="10" width="5.625" style="6" bestFit="1" customWidth="1"/>
    <col min="11" max="11" width="4.875" style="6" bestFit="1" customWidth="1"/>
    <col min="12" max="14" width="4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15.125" style="5" bestFit="1" customWidth="1"/>
    <col min="23" max="16384" width="8.75390625" style="3" customWidth="1"/>
  </cols>
  <sheetData>
    <row r="1" spans="1:22" s="2" customFormat="1" ht="28.5" customHeight="1">
      <c r="A1" s="86" t="s">
        <v>14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</row>
    <row r="3" spans="1:22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17</v>
      </c>
      <c r="M3" s="97"/>
      <c r="N3" s="97"/>
      <c r="O3" s="97"/>
      <c r="P3" s="97" t="s">
        <v>18</v>
      </c>
      <c r="Q3" s="97"/>
      <c r="R3" s="97"/>
      <c r="S3" s="97"/>
      <c r="T3" s="97" t="s">
        <v>1</v>
      </c>
      <c r="U3" s="97" t="s">
        <v>3</v>
      </c>
      <c r="V3" s="99" t="s">
        <v>2</v>
      </c>
    </row>
    <row r="4" spans="1:22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96"/>
      <c r="U4" s="96"/>
      <c r="V4" s="100"/>
    </row>
    <row r="5" spans="1:21" ht="15">
      <c r="A5" s="85" t="s">
        <v>19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2.75">
      <c r="A6" s="12" t="s">
        <v>43</v>
      </c>
      <c r="B6" s="10" t="s">
        <v>20</v>
      </c>
      <c r="C6" s="10" t="s">
        <v>21</v>
      </c>
      <c r="D6" s="10" t="s">
        <v>22</v>
      </c>
      <c r="E6" s="10" t="str">
        <f>"0,7450"</f>
        <v>0,7450</v>
      </c>
      <c r="F6" s="10" t="s">
        <v>583</v>
      </c>
      <c r="G6" s="10" t="s">
        <v>24</v>
      </c>
      <c r="H6" s="11" t="s">
        <v>25</v>
      </c>
      <c r="I6" s="11" t="s">
        <v>26</v>
      </c>
      <c r="J6" s="11" t="s">
        <v>27</v>
      </c>
      <c r="K6" s="12"/>
      <c r="L6" s="11" t="s">
        <v>28</v>
      </c>
      <c r="M6" s="11" t="s">
        <v>29</v>
      </c>
      <c r="N6" s="11" t="s">
        <v>30</v>
      </c>
      <c r="O6" s="12"/>
      <c r="P6" s="11" t="s">
        <v>31</v>
      </c>
      <c r="Q6" s="11" t="s">
        <v>32</v>
      </c>
      <c r="R6" s="13" t="s">
        <v>33</v>
      </c>
      <c r="S6" s="12"/>
      <c r="T6" s="12" t="str">
        <f>"485,0"</f>
        <v>485,0</v>
      </c>
      <c r="U6" s="12" t="str">
        <f>"361,3250"</f>
        <v>361,3250</v>
      </c>
      <c r="V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5">
    <mergeCell ref="L3:O3"/>
    <mergeCell ref="P3:S3"/>
    <mergeCell ref="T3:T4"/>
    <mergeCell ref="U3:U4"/>
    <mergeCell ref="V3:V4"/>
    <mergeCell ref="A5:U5"/>
    <mergeCell ref="B3:B4"/>
    <mergeCell ref="A1:V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C1">
      <selection activeCell="R11" sqref="R11"/>
    </sheetView>
  </sheetViews>
  <sheetFormatPr defaultColWidth="8.75390625" defaultRowHeight="12.75"/>
  <cols>
    <col min="1" max="1" width="7.375" style="5" bestFit="1" customWidth="1"/>
    <col min="2" max="2" width="18.37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625" style="5" bestFit="1" customWidth="1"/>
    <col min="8" max="10" width="4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6" width="7.875" style="6" bestFit="1" customWidth="1"/>
    <col min="17" max="17" width="8.625" style="6" bestFit="1" customWidth="1"/>
    <col min="18" max="18" width="15.125" style="5" bestFit="1" customWidth="1"/>
    <col min="19" max="16384" width="8.75390625" style="3" customWidth="1"/>
  </cols>
  <sheetData>
    <row r="1" spans="1:18" s="2" customFormat="1" ht="28.5" customHeight="1">
      <c r="A1" s="86" t="s">
        <v>480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2"/>
    </row>
    <row r="3" spans="1:18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17</v>
      </c>
      <c r="I3" s="97"/>
      <c r="J3" s="97"/>
      <c r="K3" s="97"/>
      <c r="L3" s="97" t="s">
        <v>18</v>
      </c>
      <c r="M3" s="97"/>
      <c r="N3" s="97"/>
      <c r="O3" s="97"/>
      <c r="P3" s="97" t="s">
        <v>1</v>
      </c>
      <c r="Q3" s="97" t="s">
        <v>3</v>
      </c>
      <c r="R3" s="99" t="s">
        <v>2</v>
      </c>
    </row>
    <row r="4" spans="1:18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96"/>
      <c r="Q4" s="96"/>
      <c r="R4" s="100"/>
    </row>
    <row r="5" spans="1:17" ht="15">
      <c r="A5" s="85" t="s">
        <v>121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8" ht="12.75">
      <c r="A6" s="10" t="s">
        <v>83</v>
      </c>
      <c r="B6" s="10" t="s">
        <v>122</v>
      </c>
      <c r="C6" s="10" t="s">
        <v>123</v>
      </c>
      <c r="D6" s="10" t="s">
        <v>124</v>
      </c>
      <c r="E6" s="10" t="str">
        <f>"0,9256"</f>
        <v>0,9256</v>
      </c>
      <c r="F6" s="10" t="s">
        <v>583</v>
      </c>
      <c r="G6" s="10" t="s">
        <v>125</v>
      </c>
      <c r="H6" s="13" t="s">
        <v>129</v>
      </c>
      <c r="I6" s="13" t="s">
        <v>129</v>
      </c>
      <c r="J6" s="13" t="s">
        <v>129</v>
      </c>
      <c r="K6" s="12"/>
      <c r="L6" s="13" t="s">
        <v>28</v>
      </c>
      <c r="M6" s="12"/>
      <c r="N6" s="12"/>
      <c r="O6" s="12"/>
      <c r="P6" s="12" t="str">
        <f>"0.00"</f>
        <v>0.00</v>
      </c>
      <c r="Q6" s="12" t="str">
        <f>"0,0000"</f>
        <v>0,0000</v>
      </c>
      <c r="R6" s="10" t="s">
        <v>582</v>
      </c>
    </row>
    <row r="7" ht="12.75">
      <c r="B7" s="5" t="s">
        <v>12</v>
      </c>
    </row>
    <row r="8" spans="1:17" ht="15">
      <c r="A8" s="84" t="s">
        <v>19</v>
      </c>
      <c r="B8" s="8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8" ht="12.75">
      <c r="A9" s="12" t="s">
        <v>43</v>
      </c>
      <c r="B9" s="10" t="s">
        <v>306</v>
      </c>
      <c r="C9" s="10" t="s">
        <v>307</v>
      </c>
      <c r="D9" s="10" t="s">
        <v>308</v>
      </c>
      <c r="E9" s="10" t="str">
        <f>"0,7872"</f>
        <v>0,7872</v>
      </c>
      <c r="F9" s="10" t="s">
        <v>583</v>
      </c>
      <c r="G9" s="10" t="s">
        <v>309</v>
      </c>
      <c r="H9" s="11" t="s">
        <v>305</v>
      </c>
      <c r="I9" s="11" t="s">
        <v>127</v>
      </c>
      <c r="J9" s="13" t="s">
        <v>128</v>
      </c>
      <c r="K9" s="12"/>
      <c r="L9" s="11" t="s">
        <v>100</v>
      </c>
      <c r="M9" s="11" t="s">
        <v>101</v>
      </c>
      <c r="N9" s="11" t="s">
        <v>119</v>
      </c>
      <c r="O9" s="12"/>
      <c r="P9" s="12" t="str">
        <f>"220,0"</f>
        <v>220,0</v>
      </c>
      <c r="Q9" s="12" t="str">
        <f>"173,1840"</f>
        <v>173,1840</v>
      </c>
      <c r="R9" s="10" t="s">
        <v>582</v>
      </c>
    </row>
    <row r="10" ht="12.75">
      <c r="B10" s="5" t="s">
        <v>12</v>
      </c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spans="2:6" ht="15">
      <c r="B15" s="5" t="s">
        <v>12</v>
      </c>
      <c r="F15" s="7"/>
    </row>
    <row r="16" spans="2:6" ht="15">
      <c r="B16" s="5" t="s">
        <v>12</v>
      </c>
      <c r="F16" s="7"/>
    </row>
    <row r="17" spans="2:6" ht="15">
      <c r="B17" s="5" t="s">
        <v>12</v>
      </c>
      <c r="F17" s="7"/>
    </row>
    <row r="18" ht="12.75">
      <c r="B18" s="5" t="s">
        <v>12</v>
      </c>
    </row>
    <row r="19" spans="2:4" ht="18">
      <c r="B19" s="5" t="s">
        <v>12</v>
      </c>
      <c r="C19" s="8"/>
      <c r="D19" s="8"/>
    </row>
    <row r="20" spans="2:4" ht="15">
      <c r="B20" s="5" t="s">
        <v>12</v>
      </c>
      <c r="C20" s="14"/>
      <c r="D20" s="14"/>
    </row>
    <row r="21" spans="2:4" ht="14.25">
      <c r="B21" s="5" t="s">
        <v>12</v>
      </c>
      <c r="C21" s="15"/>
      <c r="D21" s="15"/>
    </row>
    <row r="22" spans="2:7" ht="15">
      <c r="B22" s="5" t="s">
        <v>12</v>
      </c>
      <c r="C22" s="1"/>
      <c r="D22" s="1"/>
      <c r="E22" s="1"/>
      <c r="F22" s="1"/>
      <c r="G22" s="1"/>
    </row>
    <row r="23" spans="2:7" ht="12.75">
      <c r="B23" s="5" t="s">
        <v>12</v>
      </c>
      <c r="E23" s="6"/>
      <c r="F23" s="6"/>
      <c r="G23" s="6"/>
    </row>
    <row r="24" ht="12.75">
      <c r="B24" s="5" t="s">
        <v>12</v>
      </c>
    </row>
  </sheetData>
  <sheetProtection/>
  <mergeCells count="15">
    <mergeCell ref="H3:K3"/>
    <mergeCell ref="L3:O3"/>
    <mergeCell ref="P3:P4"/>
    <mergeCell ref="Q3:Q4"/>
    <mergeCell ref="R3:R4"/>
    <mergeCell ref="A5:Q5"/>
    <mergeCell ref="A8:Q8"/>
    <mergeCell ref="B3:B4"/>
    <mergeCell ref="A1:R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4" sqref="G14"/>
    </sheetView>
  </sheetViews>
  <sheetFormatPr defaultColWidth="8.75390625" defaultRowHeight="12.75"/>
  <cols>
    <col min="1" max="1" width="7.375" style="5" bestFit="1" customWidth="1"/>
    <col min="2" max="2" width="15.375" style="5" bestFit="1" customWidth="1"/>
    <col min="3" max="3" width="26.2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25.1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7.625" style="6" bestFit="1" customWidth="1"/>
    <col min="14" max="14" width="15.125" style="5" bestFit="1" customWidth="1"/>
    <col min="15" max="16384" width="8.75390625" style="3" customWidth="1"/>
  </cols>
  <sheetData>
    <row r="1" spans="1:14" s="2" customFormat="1" ht="28.5" customHeight="1">
      <c r="A1" s="86" t="s">
        <v>479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2" customFormat="1" ht="61.5" customHeight="1" thickBo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1" customFormat="1" ht="12.75" customHeight="1">
      <c r="A3" s="93" t="s">
        <v>13</v>
      </c>
      <c r="B3" s="98" t="s">
        <v>0</v>
      </c>
      <c r="C3" s="95" t="s">
        <v>6</v>
      </c>
      <c r="D3" s="95" t="s">
        <v>7</v>
      </c>
      <c r="E3" s="97" t="s">
        <v>15</v>
      </c>
      <c r="F3" s="97" t="s">
        <v>4</v>
      </c>
      <c r="G3" s="97" t="s">
        <v>8</v>
      </c>
      <c r="H3" s="97" t="s">
        <v>16</v>
      </c>
      <c r="I3" s="97"/>
      <c r="J3" s="97"/>
      <c r="K3" s="97"/>
      <c r="L3" s="97" t="s">
        <v>248</v>
      </c>
      <c r="M3" s="97" t="s">
        <v>3</v>
      </c>
      <c r="N3" s="99" t="s">
        <v>2</v>
      </c>
    </row>
    <row r="4" spans="1:14" s="1" customFormat="1" ht="21" customHeight="1" thickBot="1">
      <c r="A4" s="94"/>
      <c r="B4" s="68"/>
      <c r="C4" s="96"/>
      <c r="D4" s="96"/>
      <c r="E4" s="96"/>
      <c r="F4" s="96"/>
      <c r="G4" s="96"/>
      <c r="H4" s="4">
        <v>1</v>
      </c>
      <c r="I4" s="4">
        <v>2</v>
      </c>
      <c r="J4" s="4">
        <v>3</v>
      </c>
      <c r="K4" s="4" t="s">
        <v>5</v>
      </c>
      <c r="L4" s="96"/>
      <c r="M4" s="96"/>
      <c r="N4" s="100"/>
    </row>
    <row r="5" spans="1:13" ht="15">
      <c r="A5" s="85" t="s">
        <v>19</v>
      </c>
      <c r="B5" s="85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4" ht="12.75">
      <c r="A6" s="12" t="s">
        <v>43</v>
      </c>
      <c r="B6" s="10" t="s">
        <v>453</v>
      </c>
      <c r="C6" s="10" t="s">
        <v>454</v>
      </c>
      <c r="D6" s="10" t="s">
        <v>455</v>
      </c>
      <c r="E6" s="10" t="str">
        <f>"0,7913"</f>
        <v>0,7913</v>
      </c>
      <c r="F6" s="10" t="s">
        <v>583</v>
      </c>
      <c r="G6" s="10" t="s">
        <v>247</v>
      </c>
      <c r="H6" s="11" t="s">
        <v>140</v>
      </c>
      <c r="I6" s="13" t="s">
        <v>145</v>
      </c>
      <c r="J6" s="13" t="s">
        <v>145</v>
      </c>
      <c r="K6" s="12"/>
      <c r="L6" s="12" t="str">
        <f>"105,0"</f>
        <v>105,0</v>
      </c>
      <c r="M6" s="12" t="str">
        <f>"83,0865"</f>
        <v>83,0865</v>
      </c>
      <c r="N6" s="10" t="s">
        <v>582</v>
      </c>
    </row>
    <row r="7" ht="12.75">
      <c r="B7" s="5" t="s">
        <v>12</v>
      </c>
    </row>
    <row r="8" spans="2:6" ht="15">
      <c r="B8" s="5" t="s">
        <v>12</v>
      </c>
      <c r="F8" s="7"/>
    </row>
    <row r="9" spans="2:6" ht="15">
      <c r="B9" s="5" t="s">
        <v>12</v>
      </c>
      <c r="F9" s="7"/>
    </row>
    <row r="10" spans="2:6" ht="15">
      <c r="B10" s="5" t="s">
        <v>12</v>
      </c>
      <c r="F10" s="7"/>
    </row>
    <row r="11" spans="2:6" ht="15">
      <c r="B11" s="5" t="s">
        <v>12</v>
      </c>
      <c r="F11" s="7"/>
    </row>
    <row r="12" spans="2:6" ht="15">
      <c r="B12" s="5" t="s">
        <v>12</v>
      </c>
      <c r="F12" s="7"/>
    </row>
    <row r="13" spans="2:6" ht="15">
      <c r="B13" s="5" t="s">
        <v>12</v>
      </c>
      <c r="F13" s="7"/>
    </row>
    <row r="14" spans="2:6" ht="15">
      <c r="B14" s="5" t="s">
        <v>12</v>
      </c>
      <c r="F14" s="7"/>
    </row>
    <row r="15" ht="12.75">
      <c r="B15" s="5" t="s">
        <v>12</v>
      </c>
    </row>
    <row r="16" spans="2:4" ht="18">
      <c r="B16" s="5" t="s">
        <v>12</v>
      </c>
      <c r="C16" s="8"/>
      <c r="D16" s="8"/>
    </row>
    <row r="17" spans="2:4" ht="15">
      <c r="B17" s="5" t="s">
        <v>12</v>
      </c>
      <c r="C17" s="14"/>
      <c r="D17" s="14"/>
    </row>
    <row r="18" spans="2:4" ht="14.25">
      <c r="B18" s="5" t="s">
        <v>12</v>
      </c>
      <c r="C18" s="15"/>
      <c r="D18" s="15"/>
    </row>
    <row r="19" spans="2:7" ht="15">
      <c r="B19" s="5" t="s">
        <v>12</v>
      </c>
      <c r="C19" s="1"/>
      <c r="D19" s="1"/>
      <c r="E19" s="1"/>
      <c r="F19" s="1"/>
      <c r="G19" s="1"/>
    </row>
    <row r="20" spans="2:7" ht="12.75">
      <c r="B20" s="5" t="s">
        <v>12</v>
      </c>
      <c r="E20" s="6"/>
      <c r="F20" s="6"/>
      <c r="G20" s="6"/>
    </row>
    <row r="21" ht="12.75">
      <c r="B21" s="5" t="s">
        <v>12</v>
      </c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NPA</cp:lastModifiedBy>
  <cp:lastPrinted>2015-07-16T19:10:53Z</cp:lastPrinted>
  <dcterms:created xsi:type="dcterms:W3CDTF">2002-06-16T13:36:44Z</dcterms:created>
  <dcterms:modified xsi:type="dcterms:W3CDTF">2020-12-15T10:32:13Z</dcterms:modified>
  <cp:category/>
  <cp:version/>
  <cp:contentType/>
  <cp:contentStatus/>
</cp:coreProperties>
</file>